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echa01\Desktop\GCO\ProrateIC\"/>
    </mc:Choice>
  </mc:AlternateContent>
  <bookViews>
    <workbookView xWindow="0" yWindow="0" windowWidth="20490" windowHeight="6495"/>
  </bookViews>
  <sheets>
    <sheet name="Read Me" sheetId="2" r:id="rId1"/>
    <sheet name="Calculator_No_Excludables" sheetId="3" r:id="rId2"/>
    <sheet name="Calculator_Excludables" sheetId="6" r:id="rId3"/>
    <sheet name="Subaward_EXAMPLE_Excludables" sheetId="4" r:id="rId4"/>
  </sheets>
  <definedNames>
    <definedName name="_xlnm.Print_Area" localSheetId="2">Calculator_Excludables!$A$1:$D$119</definedName>
    <definedName name="_xlnm.Print_Area" localSheetId="1">Calculator_No_Excludables!$A$1:$D$51</definedName>
    <definedName name="_xlnm.Print_Area" localSheetId="3">Subaward_EXAMPLE_Excludables!$A$1:$D$119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6" l="1"/>
  <c r="D113" i="6"/>
  <c r="D117" i="6"/>
  <c r="D99" i="6"/>
  <c r="D101" i="6" s="1"/>
  <c r="D34" i="6"/>
  <c r="D28" i="6"/>
  <c r="D19" i="6"/>
  <c r="D26" i="6" s="1"/>
  <c r="I11" i="6"/>
  <c r="D11" i="6"/>
  <c r="D36" i="6" l="1"/>
  <c r="D39" i="6" s="1"/>
  <c r="D81" i="6"/>
  <c r="D24" i="6"/>
  <c r="D54" i="6"/>
  <c r="D56" i="6" s="1"/>
  <c r="D82" i="4"/>
  <c r="D74" i="4"/>
  <c r="D14" i="4"/>
  <c r="D99" i="4" s="1"/>
  <c r="D101" i="4" s="1"/>
  <c r="D117" i="4"/>
  <c r="D115" i="4"/>
  <c r="D113" i="4"/>
  <c r="D28" i="4"/>
  <c r="I11" i="4"/>
  <c r="D53" i="4" s="1"/>
  <c r="D11" i="4"/>
  <c r="D33" i="4" s="1"/>
  <c r="N44" i="6" l="1"/>
  <c r="D42" i="6"/>
  <c r="D44" i="6"/>
  <c r="D45" i="6" s="1"/>
  <c r="D59" i="6"/>
  <c r="D64" i="6"/>
  <c r="D65" i="6" s="1"/>
  <c r="D73" i="6"/>
  <c r="D29" i="6"/>
  <c r="D15" i="4"/>
  <c r="D19" i="4" s="1"/>
  <c r="D26" i="4" s="1"/>
  <c r="D81" i="4" s="1"/>
  <c r="D54" i="4"/>
  <c r="D56" i="4" s="1"/>
  <c r="D34" i="4"/>
  <c r="D36" i="4" s="1"/>
  <c r="D39" i="4" s="1"/>
  <c r="D42" i="4" s="1"/>
  <c r="D14" i="3"/>
  <c r="N66" i="6" l="1"/>
  <c r="N45" i="6"/>
  <c r="N46" i="6"/>
  <c r="D48" i="6"/>
  <c r="D74" i="6"/>
  <c r="M44" i="6"/>
  <c r="N65" i="6"/>
  <c r="D68" i="6"/>
  <c r="D62" i="6"/>
  <c r="N64" i="6"/>
  <c r="D24" i="4"/>
  <c r="D59" i="4"/>
  <c r="D62" i="4" s="1"/>
  <c r="D75" i="4" s="1"/>
  <c r="D64" i="4"/>
  <c r="D65" i="4" s="1"/>
  <c r="D68" i="4" s="1"/>
  <c r="D83" i="4" s="1"/>
  <c r="D84" i="4" s="1"/>
  <c r="N44" i="4"/>
  <c r="D44" i="4"/>
  <c r="D45" i="4" s="1"/>
  <c r="D16" i="3"/>
  <c r="B23" i="3" s="1"/>
  <c r="C23" i="3" s="1"/>
  <c r="D35" i="3" s="1"/>
  <c r="D18" i="3"/>
  <c r="P64" i="4" l="1"/>
  <c r="D29" i="4"/>
  <c r="D73" i="4"/>
  <c r="D76" i="4" s="1"/>
  <c r="M66" i="6"/>
  <c r="M46" i="6"/>
  <c r="D82" i="6"/>
  <c r="M45" i="6"/>
  <c r="D83" i="6"/>
  <c r="M65" i="6"/>
  <c r="M64" i="6"/>
  <c r="D75" i="6"/>
  <c r="D76" i="6" s="1"/>
  <c r="P66" i="4"/>
  <c r="P65" i="4"/>
  <c r="O65" i="4"/>
  <c r="O64" i="4"/>
  <c r="O66" i="4"/>
  <c r="N45" i="4"/>
  <c r="N46" i="4"/>
  <c r="D48" i="4"/>
  <c r="M44" i="4"/>
  <c r="D31" i="3"/>
  <c r="B22" i="3"/>
  <c r="C22" i="3" s="1"/>
  <c r="D34" i="3" s="1"/>
  <c r="D36" i="3" s="1"/>
  <c r="B89" i="6" l="1"/>
  <c r="D78" i="6"/>
  <c r="D84" i="6"/>
  <c r="B90" i="6" s="1"/>
  <c r="B89" i="4"/>
  <c r="M45" i="4"/>
  <c r="M46" i="4"/>
  <c r="D19" i="3"/>
  <c r="D32" i="3" s="1"/>
  <c r="D23" i="3"/>
  <c r="D86" i="6" l="1"/>
  <c r="C90" i="6" s="1"/>
  <c r="B91" i="6"/>
  <c r="C89" i="6"/>
  <c r="D89" i="6" s="1"/>
  <c r="D103" i="6"/>
  <c r="D104" i="6"/>
  <c r="D78" i="4"/>
  <c r="C89" i="4" s="1"/>
  <c r="D86" i="4"/>
  <c r="B90" i="4"/>
  <c r="B91" i="4" s="1"/>
  <c r="B24" i="3"/>
  <c r="D22" i="3"/>
  <c r="D38" i="3"/>
  <c r="D44" i="3" s="1"/>
  <c r="D105" i="6" l="1"/>
  <c r="D107" i="6" s="1"/>
  <c r="D90" i="6"/>
  <c r="C91" i="6"/>
  <c r="D91" i="6" s="1"/>
  <c r="D105" i="4"/>
  <c r="D107" i="4" s="1"/>
  <c r="D103" i="4"/>
  <c r="D89" i="4"/>
  <c r="D104" i="4"/>
  <c r="C90" i="4"/>
  <c r="D90" i="4" s="1"/>
  <c r="C24" i="3"/>
  <c r="D24" i="3" s="1"/>
  <c r="D46" i="3" s="1"/>
  <c r="C91" i="4" l="1"/>
  <c r="D91" i="4" s="1"/>
  <c r="D48" i="3"/>
  <c r="D51" i="3" s="1"/>
</calcChain>
</file>

<file path=xl/sharedStrings.xml><?xml version="1.0" encoding="utf-8"?>
<sst xmlns="http://schemas.openxmlformats.org/spreadsheetml/2006/main" count="274" uniqueCount="97">
  <si>
    <t>% of First Period</t>
  </si>
  <si>
    <t>% of Second Period</t>
  </si>
  <si>
    <t>Amount of Base Period 1</t>
  </si>
  <si>
    <t>Amount of Base Period 2</t>
  </si>
  <si>
    <t>Subaward DC</t>
  </si>
  <si>
    <t>Subaward IC</t>
  </si>
  <si>
    <t>Subaward TC</t>
  </si>
  <si>
    <t>Total # of Months</t>
  </si>
  <si>
    <t>Total Amount of Base w/o adding back in the 25K</t>
  </si>
  <si>
    <t>Enter Subaward TC per Year</t>
  </si>
  <si>
    <t>Enter # of Months in First Period</t>
  </si>
  <si>
    <t>Step 1:   Enter Modular Budget Amount or Non-Modular TDC</t>
  </si>
  <si>
    <t>ICR</t>
  </si>
  <si>
    <t>IC</t>
  </si>
  <si>
    <t>InfoEd PD # / GCO #:</t>
  </si>
  <si>
    <t>Modular Budget Amount or TDC</t>
  </si>
  <si>
    <t>Step 3:  Enter other excludables</t>
  </si>
  <si>
    <t>Budget Period</t>
  </si>
  <si>
    <t>Base Period 1</t>
  </si>
  <si>
    <t>Base Period 2</t>
  </si>
  <si>
    <t>Total</t>
  </si>
  <si>
    <t>Amt of Base</t>
  </si>
  <si>
    <t>%</t>
  </si>
  <si>
    <t>MTDC</t>
  </si>
  <si>
    <t>TC</t>
  </si>
  <si>
    <t>Subaward F&amp;A Calc Summary</t>
  </si>
  <si>
    <t>IC @ 69%</t>
  </si>
  <si>
    <t>IC @ 69.5%</t>
  </si>
  <si>
    <t>IC - Total</t>
  </si>
  <si>
    <t>Step 8 -  Overhead Applied to both Bases</t>
  </si>
  <si>
    <t>ISMMS does not have a combined ICR.</t>
  </si>
  <si>
    <t>This calculation is for internal budgeting purposes only and does not appear on any federal budget forms.</t>
  </si>
  <si>
    <t>Step 10  - Calculation of Total Costs</t>
  </si>
  <si>
    <t>Step 6 - Projects with Subawards - Add in the 25K according to this Method</t>
  </si>
  <si>
    <t>Prorating Indirect Costs (IC) for Federal Grants that Use the 69.5% and 69.0% Rate in a Budget Period</t>
  </si>
  <si>
    <t xml:space="preserve"> # of Months in Second Period</t>
  </si>
  <si>
    <t>Instructions:</t>
  </si>
  <si>
    <t>Subaward # 1</t>
  </si>
  <si>
    <t>Subaward # 2</t>
  </si>
  <si>
    <r>
      <t xml:space="preserve">Subaward </t>
    </r>
    <r>
      <rPr>
        <b/>
        <u val="singleAccounting"/>
        <sz val="11"/>
        <color theme="1"/>
        <rFont val="Calibri"/>
        <family val="2"/>
        <scheme val="minor"/>
      </rPr>
      <t># 2</t>
    </r>
  </si>
  <si>
    <t>Step 7:  Subaward # 2 &lt;--Projects with Subawards - split this amount into the yellow section below</t>
  </si>
  <si>
    <t>Modular Amount or TDC DC</t>
  </si>
  <si>
    <t>For modular grants, enter the Subaward IC</t>
  </si>
  <si>
    <t>TDC</t>
  </si>
  <si>
    <t>GCO does not take responsibility for your programming of this template.</t>
  </si>
  <si>
    <t>Instructions: Enter amounts in grey and yellow boxes. See Read Me tab for more information.</t>
  </si>
  <si>
    <t>Subward # 1</t>
  </si>
  <si>
    <t>Subward # 2</t>
  </si>
  <si>
    <t>&lt;---If Subward TC is less than 25K, change this formula and multiply by Subaward TC, not by 25K.</t>
  </si>
  <si>
    <t>And if Subward TC is less than 25K, change this formula and divide by the Subaward TC and not by 25K.</t>
  </si>
  <si>
    <t>Password:  indirects</t>
  </si>
  <si>
    <t>Step 2 - Enter # of Months at Each Base and Calculate</t>
  </si>
  <si>
    <t>Step 4  - Calculation of Total Costs</t>
  </si>
  <si>
    <t>Use this sheet if there are NO excludable items from the Modified Total Direct Cost Base</t>
  </si>
  <si>
    <t>NOA TC</t>
  </si>
  <si>
    <t>Step 5 - For Non Competitive Continuations Where Rebudgeting is Required</t>
  </si>
  <si>
    <t>Difference between NOA TC and Prorated IC in Previous Step</t>
  </si>
  <si>
    <r>
      <t xml:space="preserve">Back Out IC </t>
    </r>
    <r>
      <rPr>
        <b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Once you add the DC in row above to your total DC, this IC amount will automatically</t>
    </r>
  </si>
  <si>
    <t>Back Out DC - Add these DC costs to your DC in Step 1</t>
  </si>
  <si>
    <t>Step 11 - For Non Competitive Continuations Where Rebudgeting is Required</t>
  </si>
  <si>
    <t>+</t>
  </si>
  <si>
    <r>
      <rPr>
        <b/>
        <sz val="11"/>
        <color theme="1"/>
        <rFont val="Calibri"/>
        <family val="2"/>
        <scheme val="minor"/>
      </rPr>
      <t>Back Out IC -</t>
    </r>
    <r>
      <rPr>
        <sz val="11"/>
        <color theme="1"/>
        <rFont val="Calibri"/>
        <family val="2"/>
        <scheme val="minor"/>
      </rPr>
      <t xml:space="preserve"> Once you add the DC in row above to  DC in Step 1, this IC amount will automatically</t>
    </r>
  </si>
  <si>
    <t>Period 1: # of Months IC at 69.5%</t>
  </si>
  <si>
    <t>Period 1:  Modified Total Direct Cost Base (MTDC)</t>
  </si>
  <si>
    <t>Period 2:  Modified Total Direct Cost Base (MTDC)</t>
  </si>
  <si>
    <t>Period 2: # of Months IC at 69.0%</t>
  </si>
  <si>
    <t>Step 2:   Enter Subaward DC for Modular Budgets or Subaward TC for Non-Modular Budgets</t>
  </si>
  <si>
    <t>Use this sheet if there are excludable items (e.g., equipment, subawards, etc.) from the Modified Total Direct Cost Base</t>
  </si>
  <si>
    <t>Step 3 - Calculation of Combined ICR</t>
  </si>
  <si>
    <t>Step 9 - Calculation of Combined ICR</t>
  </si>
  <si>
    <t>Total MTDC</t>
  </si>
  <si>
    <t>Use of these calculators is optional.</t>
  </si>
  <si>
    <t>Federal budget forms include the breakdown of each separate rate in the previous step.</t>
  </si>
  <si>
    <t>Additional $s to Add to Your Budget Above</t>
  </si>
  <si>
    <t>calculate</t>
  </si>
  <si>
    <t>Amount of Base Calculations</t>
  </si>
  <si>
    <t>Subaward reaches 25K cap in Which Month # of the Budget Period?</t>
  </si>
  <si>
    <t>12/1/2021-11/30/2022</t>
  </si>
  <si>
    <t>Amount of Base from Subaward # 1 - Period 1</t>
  </si>
  <si>
    <t>Amount of Base from Subaward # 1 - Period 2</t>
  </si>
  <si>
    <t>Amount of Base from Subaward # 2 - Period 1</t>
  </si>
  <si>
    <t>Amount of Base from Subaward # 2 - Period 2</t>
  </si>
  <si>
    <t>x</t>
  </si>
  <si>
    <t>Cap of 25,000 for Subaward where Sub CT is greater or equal to 25,000</t>
  </si>
  <si>
    <t>Amount of Base without Subawards</t>
  </si>
  <si>
    <t xml:space="preserve"> Amount of Base from Subaward 1</t>
  </si>
  <si>
    <t xml:space="preserve"> Amount of Base from Subaward 2</t>
  </si>
  <si>
    <t>Step 4 - Subtract excludables w/o adding back in 25K for each subaward</t>
  </si>
  <si>
    <t>Step 5 -Prorate Amount of Base. Enter # of Months in Each Period</t>
  </si>
  <si>
    <t>Amount of Base Period 1 - Total</t>
  </si>
  <si>
    <t>Amount of Base Period 2 - Total</t>
  </si>
  <si>
    <t>Subaward TC per Month (TC / 12 months)</t>
  </si>
  <si>
    <r>
      <t xml:space="preserve">Back Out IC </t>
    </r>
    <r>
      <rPr>
        <b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Once you add the DC in row above to your total DC, this IC amount will </t>
    </r>
  </si>
  <si>
    <t>automatically calculate.</t>
  </si>
  <si>
    <t>There are automatic formulas included.</t>
  </si>
  <si>
    <t>last updated: 1/5/2021</t>
  </si>
  <si>
    <t>Additional calculations are needed for budgets with more than two subawards and subawards that are less than 25,000 TC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</si>
</sst>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0_);_(* \(#,##0.00000\);_(* &quot;-&quot;??_);_(@_)"/>
    <numFmt numFmtId="167" formatCode="0.0000%"/>
    <numFmt numFmtId="168" formatCode="0.00000%"/>
    <numFmt numFmtId="169" formatCode="_(* #,##0.000000000_);_(* \(#,##0.000000000\);_(* &quot;-&quot;??_);_(@_)"/>
    <numFmt numFmtId="170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NumberFormat="1" applyFont="1" applyProtection="1">
      <protection locked="0"/>
    </xf>
    <xf numFmtId="0" fontId="0" fillId="3" borderId="0" xfId="0" applyFill="1" applyProtection="1">
      <protection locked="0"/>
    </xf>
    <xf numFmtId="164" fontId="2" fillId="0" borderId="0" xfId="1" applyNumberFormat="1" applyFont="1" applyProtection="1">
      <protection locked="0"/>
    </xf>
    <xf numFmtId="164" fontId="0" fillId="2" borderId="0" xfId="1" applyNumberFormat="1" applyFont="1" applyFill="1" applyProtection="1">
      <protection locked="0"/>
    </xf>
    <xf numFmtId="164" fontId="3" fillId="0" borderId="0" xfId="1" applyNumberFormat="1" applyFont="1" applyProtection="1">
      <protection locked="0"/>
    </xf>
    <xf numFmtId="164" fontId="0" fillId="0" borderId="1" xfId="1" applyNumberFormat="1" applyFont="1" applyBorder="1" applyProtection="1">
      <protection locked="0"/>
    </xf>
    <xf numFmtId="166" fontId="0" fillId="0" borderId="0" xfId="1" applyNumberFormat="1" applyFont="1" applyProtection="1">
      <protection locked="0"/>
    </xf>
    <xf numFmtId="170" fontId="0" fillId="2" borderId="0" xfId="1" applyNumberFormat="1" applyFont="1" applyFill="1" applyProtection="1">
      <protection locked="0"/>
    </xf>
    <xf numFmtId="167" fontId="0" fillId="0" borderId="0" xfId="2" applyNumberFormat="1" applyFont="1" applyProtection="1">
      <protection locked="0"/>
    </xf>
    <xf numFmtId="164" fontId="3" fillId="0" borderId="0" xfId="1" applyNumberFormat="1" applyFon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9" fontId="0" fillId="0" borderId="0" xfId="1" applyNumberFormat="1" applyFont="1" applyProtection="1">
      <protection locked="0"/>
    </xf>
    <xf numFmtId="164" fontId="5" fillId="0" borderId="0" xfId="1" applyNumberFormat="1" applyFont="1" applyProtection="1">
      <protection locked="0"/>
    </xf>
    <xf numFmtId="164" fontId="6" fillId="0" borderId="0" xfId="1" applyNumberFormat="1" applyFont="1" applyProtection="1">
      <protection locked="0"/>
    </xf>
    <xf numFmtId="164" fontId="0" fillId="4" borderId="0" xfId="1" applyNumberFormat="1" applyFont="1" applyFill="1" applyProtection="1"/>
    <xf numFmtId="164" fontId="0" fillId="0" borderId="0" xfId="1" applyNumberFormat="1" applyFont="1" applyProtection="1"/>
    <xf numFmtId="164" fontId="2" fillId="2" borderId="1" xfId="1" applyNumberFormat="1" applyFont="1" applyFill="1" applyBorder="1" applyProtection="1">
      <protection locked="0"/>
    </xf>
    <xf numFmtId="170" fontId="0" fillId="0" borderId="0" xfId="1" applyNumberFormat="1" applyFont="1" applyFill="1" applyProtection="1"/>
    <xf numFmtId="167" fontId="0" fillId="0" borderId="0" xfId="2" applyNumberFormat="1" applyFont="1" applyProtection="1"/>
    <xf numFmtId="164" fontId="1" fillId="0" borderId="0" xfId="1" applyNumberFormat="1" applyFont="1" applyProtection="1"/>
    <xf numFmtId="164" fontId="3" fillId="0" borderId="0" xfId="1" applyNumberFormat="1" applyFont="1" applyProtection="1"/>
    <xf numFmtId="164" fontId="2" fillId="0" borderId="0" xfId="1" applyNumberFormat="1" applyFont="1" applyProtection="1"/>
    <xf numFmtId="164" fontId="0" fillId="0" borderId="0" xfId="1" applyNumberFormat="1" applyFont="1" applyBorder="1" applyProtection="1"/>
    <xf numFmtId="168" fontId="0" fillId="0" borderId="0" xfId="2" applyNumberFormat="1" applyFont="1" applyBorder="1" applyProtection="1"/>
    <xf numFmtId="166" fontId="0" fillId="0" borderId="0" xfId="1" applyNumberFormat="1" applyFont="1" applyProtection="1"/>
    <xf numFmtId="165" fontId="4" fillId="0" borderId="0" xfId="2" applyNumberFormat="1" applyFont="1" applyProtection="1"/>
    <xf numFmtId="0" fontId="2" fillId="5" borderId="0" xfId="0" applyFont="1" applyFill="1"/>
    <xf numFmtId="0" fontId="0" fillId="5" borderId="0" xfId="0" applyFill="1"/>
    <xf numFmtId="0" fontId="0" fillId="0" borderId="0" xfId="0" applyFill="1" applyProtection="1">
      <protection locked="0"/>
    </xf>
    <xf numFmtId="164" fontId="2" fillId="0" borderId="0" xfId="1" applyNumberFormat="1" applyFont="1" applyFill="1" applyProtection="1"/>
    <xf numFmtId="164" fontId="0" fillId="3" borderId="0" xfId="1" applyNumberFormat="1" applyFont="1" applyFill="1" applyProtection="1">
      <protection locked="0"/>
    </xf>
    <xf numFmtId="164" fontId="8" fillId="0" borderId="0" xfId="1" applyNumberFormat="1" applyFont="1" applyProtection="1">
      <protection locked="0"/>
    </xf>
    <xf numFmtId="167" fontId="4" fillId="0" borderId="0" xfId="2" applyNumberFormat="1" applyFont="1" applyProtection="1"/>
    <xf numFmtId="164" fontId="2" fillId="2" borderId="0" xfId="1" applyNumberFormat="1" applyFont="1" applyFill="1" applyProtection="1">
      <protection locked="0"/>
    </xf>
    <xf numFmtId="43" fontId="0" fillId="0" borderId="0" xfId="1" applyNumberFormat="1" applyFont="1" applyProtection="1">
      <protection locked="0"/>
    </xf>
    <xf numFmtId="164" fontId="0" fillId="0" borderId="0" xfId="1" quotePrefix="1" applyNumberFormat="1" applyFont="1" applyProtection="1">
      <protection locked="0"/>
    </xf>
    <xf numFmtId="43" fontId="0" fillId="0" borderId="1" xfId="1" applyNumberFormat="1" applyFont="1" applyBorder="1" applyProtection="1">
      <protection locked="0"/>
    </xf>
    <xf numFmtId="164" fontId="1" fillId="5" borderId="0" xfId="1" applyNumberFormat="1" applyFont="1" applyFill="1" applyProtection="1"/>
    <xf numFmtId="164" fontId="9" fillId="0" borderId="0" xfId="1" applyNumberFormat="1" applyFont="1" applyProtection="1">
      <protection locked="0"/>
    </xf>
    <xf numFmtId="164" fontId="0" fillId="0" borderId="0" xfId="1" applyNumberFormat="1" applyFont="1" applyFill="1" applyProtection="1">
      <protection locked="0"/>
    </xf>
    <xf numFmtId="43" fontId="0" fillId="0" borderId="0" xfId="1" applyNumberFormat="1" applyFont="1" applyFill="1" applyProtection="1"/>
    <xf numFmtId="164" fontId="2" fillId="0" borderId="0" xfId="1" applyNumberFormat="1" applyFont="1" applyFill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164" fontId="0" fillId="0" borderId="0" xfId="1" applyNumberFormat="1" applyFont="1" applyFill="1" applyBorder="1" applyProtection="1"/>
    <xf numFmtId="168" fontId="0" fillId="0" borderId="0" xfId="2" applyNumberFormat="1" applyFont="1" applyFill="1" applyBorder="1" applyProtection="1"/>
    <xf numFmtId="164" fontId="0" fillId="0" borderId="0" xfId="1" applyNumberFormat="1" applyFont="1" applyFill="1" applyProtection="1"/>
    <xf numFmtId="167" fontId="0" fillId="0" borderId="0" xfId="2" applyNumberFormat="1" applyFont="1" applyFill="1" applyProtection="1"/>
    <xf numFmtId="43" fontId="2" fillId="0" borderId="2" xfId="1" applyNumberFormat="1" applyFont="1" applyBorder="1" applyProtection="1">
      <protection locked="0"/>
    </xf>
    <xf numFmtId="164" fontId="0" fillId="3" borderId="1" xfId="1" applyNumberFormat="1" applyFont="1" applyFill="1" applyBorder="1" applyProtection="1">
      <protection locked="0"/>
    </xf>
    <xf numFmtId="43" fontId="0" fillId="0" borderId="0" xfId="1" applyNumberFormat="1" applyFont="1" applyProtection="1"/>
    <xf numFmtId="43" fontId="0" fillId="0" borderId="2" xfId="1" applyNumberFormat="1" applyFont="1" applyBorder="1" applyProtection="1">
      <protection locked="0"/>
    </xf>
    <xf numFmtId="164" fontId="10" fillId="0" borderId="0" xfId="1" applyNumberFormat="1" applyFont="1" applyAlignment="1" applyProtection="1">
      <alignment horizontal="center"/>
      <protection locked="0"/>
    </xf>
    <xf numFmtId="164" fontId="7" fillId="0" borderId="0" xfId="1" applyNumberFormat="1" applyFont="1" applyProtection="1">
      <protection locked="0"/>
    </xf>
    <xf numFmtId="167" fontId="0" fillId="0" borderId="0" xfId="2" quotePrefix="1" applyNumberFormat="1" applyFont="1" applyProtection="1"/>
    <xf numFmtId="164" fontId="3" fillId="0" borderId="0" xfId="1" quotePrefix="1" applyNumberFormat="1" applyFont="1" applyProtection="1"/>
    <xf numFmtId="164" fontId="1" fillId="0" borderId="0" xfId="1" applyNumberFormat="1" applyFont="1" applyProtection="1">
      <protection locked="0"/>
    </xf>
    <xf numFmtId="164" fontId="3" fillId="0" borderId="0" xfId="1" applyNumberFormat="1" applyFont="1" applyFill="1" applyProtection="1"/>
    <xf numFmtId="164" fontId="11" fillId="0" borderId="0" xfId="1" applyNumberFormat="1" applyFont="1" applyFill="1" applyProtection="1">
      <protection locked="0"/>
    </xf>
    <xf numFmtId="164" fontId="5" fillId="0" borderId="0" xfId="1" applyNumberFormat="1" applyFont="1" applyFill="1" applyProtection="1">
      <protection locked="0"/>
    </xf>
    <xf numFmtId="164" fontId="11" fillId="0" borderId="0" xfId="1" applyNumberFormat="1" applyFont="1" applyFill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402167</xdr:colOff>
      <xdr:row>7</xdr:row>
      <xdr:rowOff>179918</xdr:rowOff>
    </xdr:from>
    <xdr:to>
      <xdr:col>4</xdr:col>
      <xdr:colOff>222250</xdr:colOff>
      <xdr:row>10</xdr:row>
      <xdr:rowOff>42334</xdr:rowOff>
    </xdr:to>
    <xdr:sp macro="" textlink="">
      <xdr:nvSpPr>
        <xdr:cNvPr id="2" name="TextBox 1"/>
        <xdr:cNvSpPr txBox="1"/>
      </xdr:nvSpPr>
      <xdr:spPr>
        <a:xfrm>
          <a:off x="5386917" y="1513418"/>
          <a:ext cx="1259416" cy="433916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543973</xdr:colOff>
      <xdr:row>7</xdr:row>
      <xdr:rowOff>162987</xdr:rowOff>
    </xdr:from>
    <xdr:to>
      <xdr:col>9</xdr:col>
      <xdr:colOff>88889</xdr:colOff>
      <xdr:row>10</xdr:row>
      <xdr:rowOff>25403</xdr:rowOff>
    </xdr:to>
    <xdr:sp macro="" textlink="">
      <xdr:nvSpPr>
        <xdr:cNvPr id="3" name="TextBox 2"/>
        <xdr:cNvSpPr txBox="1"/>
      </xdr:nvSpPr>
      <xdr:spPr>
        <a:xfrm>
          <a:off x="9391640" y="1496487"/>
          <a:ext cx="1259416" cy="433916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378886</xdr:colOff>
      <xdr:row>4</xdr:row>
      <xdr:rowOff>146054</xdr:rowOff>
    </xdr:from>
    <xdr:to>
      <xdr:col>4</xdr:col>
      <xdr:colOff>635005</xdr:colOff>
      <xdr:row>7</xdr:row>
      <xdr:rowOff>8470</xdr:rowOff>
    </xdr:to>
    <xdr:sp macro="" textlink="">
      <xdr:nvSpPr>
        <xdr:cNvPr id="4" name="TextBox 3"/>
        <xdr:cNvSpPr txBox="1"/>
      </xdr:nvSpPr>
      <xdr:spPr>
        <a:xfrm>
          <a:off x="5363636" y="908054"/>
          <a:ext cx="1695452" cy="433916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416987</xdr:colOff>
      <xdr:row>12</xdr:row>
      <xdr:rowOff>84667</xdr:rowOff>
    </xdr:from>
    <xdr:to>
      <xdr:col>4</xdr:col>
      <xdr:colOff>237070</xdr:colOff>
      <xdr:row>16</xdr:row>
      <xdr:rowOff>35983</xdr:rowOff>
    </xdr:to>
    <xdr:sp macro="" textlink="">
      <xdr:nvSpPr>
        <xdr:cNvPr id="5" name="TextBox 4"/>
        <xdr:cNvSpPr txBox="1"/>
      </xdr:nvSpPr>
      <xdr:spPr>
        <a:xfrm>
          <a:off x="5401737" y="2370667"/>
          <a:ext cx="1259416" cy="713316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554567</xdr:colOff>
      <xdr:row>21</xdr:row>
      <xdr:rowOff>148166</xdr:rowOff>
    </xdr:from>
    <xdr:to>
      <xdr:col>4</xdr:col>
      <xdr:colOff>374650</xdr:colOff>
      <xdr:row>23</xdr:row>
      <xdr:rowOff>10583</xdr:rowOff>
    </xdr:to>
    <xdr:sp macro="" textlink="">
      <xdr:nvSpPr>
        <xdr:cNvPr id="7" name="TextBox 6"/>
        <xdr:cNvSpPr txBox="1"/>
      </xdr:nvSpPr>
      <xdr:spPr>
        <a:xfrm>
          <a:off x="5539317" y="4180416"/>
          <a:ext cx="1259416" cy="243417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548215</xdr:colOff>
      <xdr:row>23</xdr:row>
      <xdr:rowOff>179917</xdr:rowOff>
    </xdr:from>
    <xdr:to>
      <xdr:col>4</xdr:col>
      <xdr:colOff>368298</xdr:colOff>
      <xdr:row>25</xdr:row>
      <xdr:rowOff>0</xdr:rowOff>
    </xdr:to>
    <xdr:sp macro="" textlink="">
      <xdr:nvSpPr>
        <xdr:cNvPr id="8" name="TextBox 7"/>
        <xdr:cNvSpPr txBox="1"/>
      </xdr:nvSpPr>
      <xdr:spPr>
        <a:xfrm>
          <a:off x="5532965" y="4593167"/>
          <a:ext cx="1259416" cy="201083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478366</xdr:colOff>
      <xdr:row>31</xdr:row>
      <xdr:rowOff>148167</xdr:rowOff>
    </xdr:from>
    <xdr:to>
      <xdr:col>4</xdr:col>
      <xdr:colOff>298449</xdr:colOff>
      <xdr:row>33</xdr:row>
      <xdr:rowOff>14814</xdr:rowOff>
    </xdr:to>
    <xdr:sp macro="" textlink="">
      <xdr:nvSpPr>
        <xdr:cNvPr id="9" name="TextBox 8"/>
        <xdr:cNvSpPr txBox="1"/>
      </xdr:nvSpPr>
      <xdr:spPr>
        <a:xfrm>
          <a:off x="5463116" y="6085417"/>
          <a:ext cx="1259416" cy="247647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478366</xdr:colOff>
      <xdr:row>36</xdr:row>
      <xdr:rowOff>179917</xdr:rowOff>
    </xdr:from>
    <xdr:to>
      <xdr:col>4</xdr:col>
      <xdr:colOff>298449</xdr:colOff>
      <xdr:row>38</xdr:row>
      <xdr:rowOff>0</xdr:rowOff>
    </xdr:to>
    <xdr:sp macro="" textlink="">
      <xdr:nvSpPr>
        <xdr:cNvPr id="10" name="TextBox 9"/>
        <xdr:cNvSpPr txBox="1"/>
      </xdr:nvSpPr>
      <xdr:spPr>
        <a:xfrm>
          <a:off x="5463116" y="7122584"/>
          <a:ext cx="1259416" cy="201083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381001</xdr:colOff>
      <xdr:row>24</xdr:row>
      <xdr:rowOff>169331</xdr:rowOff>
    </xdr:from>
    <xdr:to>
      <xdr:col>12</xdr:col>
      <xdr:colOff>105833</xdr:colOff>
      <xdr:row>39</xdr:row>
      <xdr:rowOff>179914</xdr:rowOff>
    </xdr:to>
    <xdr:sp macro="" textlink="">
      <xdr:nvSpPr>
        <xdr:cNvPr id="11" name="TextBox 10"/>
        <xdr:cNvSpPr txBox="1"/>
      </xdr:nvSpPr>
      <xdr:spPr>
        <a:xfrm>
          <a:off x="6805084" y="4773081"/>
          <a:ext cx="6561666" cy="2921000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How many months does it take for</a:t>
          </a:r>
          <a:r>
            <a:rPr lang="en-US" sz="1400" baseline="0"/>
            <a:t> the Subaward # 1 to reach the 25,000 cap?</a:t>
          </a:r>
          <a:br>
            <a:rPr lang="en-US" sz="1400" baseline="0"/>
          </a:br>
          <a:endParaRPr lang="en-US" sz="1400" baseline="0"/>
        </a:p>
        <a:p>
          <a:r>
            <a:rPr lang="en-US" sz="1400" baseline="0"/>
            <a:t>In this example, it is 2.5 months.   (120,000 / 12 months = 10,000 per month. 25,000 cap / 10,000  per month = 2.5 months)</a:t>
          </a:r>
        </a:p>
        <a:p>
          <a:endParaRPr lang="en-US" sz="1400" baseline="0"/>
        </a:p>
        <a:p>
          <a:r>
            <a:rPr lang="en-US" sz="1400" baseline="0"/>
            <a:t>The first prorated period is 1 month.</a:t>
          </a:r>
        </a:p>
        <a:p>
          <a:endParaRPr lang="en-US" sz="1400" baseline="0"/>
        </a:p>
        <a:p>
          <a:r>
            <a:rPr lang="en-US" sz="1400" baseline="0"/>
            <a:t>1 of the 2.5 months is 40%.  40% of the 25,000 will be charged in Period 1.  </a:t>
          </a:r>
        </a:p>
        <a:p>
          <a:endParaRPr lang="en-US" sz="1400" baseline="0"/>
        </a:p>
        <a:p>
          <a:r>
            <a:rPr lang="en-US" sz="1400" baseline="0"/>
            <a:t>40% x 25,000 = 10,000. </a:t>
          </a:r>
          <a:br>
            <a:rPr lang="en-US" sz="1400" baseline="0"/>
          </a:br>
          <a:r>
            <a:rPr lang="en-US" sz="1400" baseline="0"/>
            <a:t/>
          </a:r>
          <a:br>
            <a:rPr lang="en-US" sz="1400" baseline="0"/>
          </a:br>
          <a:r>
            <a:rPr lang="en-US" sz="1400" baseline="0"/>
            <a:t>10,000 is the Amount of Base for Sub # 1 in Period 1.</a:t>
          </a:r>
          <a:endParaRPr lang="en-US" sz="1400"/>
        </a:p>
      </xdr:txBody>
    </xdr:sp>
    <xdr:clientData/>
  </xdr:twoCellAnchor>
  <xdr:twoCellAnchor>
    <xdr:from>
      <xdr:col>4</xdr:col>
      <xdr:colOff>370414</xdr:colOff>
      <xdr:row>40</xdr:row>
      <xdr:rowOff>127003</xdr:rowOff>
    </xdr:from>
    <xdr:to>
      <xdr:col>10</xdr:col>
      <xdr:colOff>825500</xdr:colOff>
      <xdr:row>48</xdr:row>
      <xdr:rowOff>116416</xdr:rowOff>
    </xdr:to>
    <xdr:sp macro="" textlink="">
      <xdr:nvSpPr>
        <xdr:cNvPr id="13" name="TextBox 12"/>
        <xdr:cNvSpPr txBox="1"/>
      </xdr:nvSpPr>
      <xdr:spPr>
        <a:xfrm>
          <a:off x="6794497" y="7863420"/>
          <a:ext cx="5471586" cy="1608663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aseline="0"/>
            <a:t>The second prorated period is 1.5 months. (2.5 months  - 1 month)</a:t>
          </a:r>
        </a:p>
        <a:p>
          <a:endParaRPr lang="en-US" sz="1400" baseline="0"/>
        </a:p>
        <a:p>
          <a:r>
            <a:rPr lang="en-US" sz="1400" baseline="0"/>
            <a:t>1.5 of the 2.5 months is 60%.  60% of the 25,000 will be charged in Period 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60% x 25,000 = 15,000. 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15,000 is the Amount of Base for Sub # 1 in Period 2.</a:t>
          </a:r>
          <a:endParaRPr lang="en-US" sz="1400">
            <a:effectLst/>
          </a:endParaRPr>
        </a:p>
        <a:p>
          <a:endParaRPr lang="en-US" sz="1600"/>
        </a:p>
      </xdr:txBody>
    </xdr:sp>
    <xdr:clientData/>
  </xdr:twoCellAnchor>
  <xdr:twoCellAnchor>
    <xdr:from>
      <xdr:col>4</xdr:col>
      <xdr:colOff>391584</xdr:colOff>
      <xdr:row>22</xdr:row>
      <xdr:rowOff>105838</xdr:rowOff>
    </xdr:from>
    <xdr:to>
      <xdr:col>8</xdr:col>
      <xdr:colOff>349250</xdr:colOff>
      <xdr:row>24</xdr:row>
      <xdr:rowOff>84668</xdr:rowOff>
    </xdr:to>
    <xdr:sp macro="" textlink="">
      <xdr:nvSpPr>
        <xdr:cNvPr id="14" name="TextBox 13"/>
        <xdr:cNvSpPr txBox="1"/>
      </xdr:nvSpPr>
      <xdr:spPr>
        <a:xfrm>
          <a:off x="6815667" y="4360338"/>
          <a:ext cx="3259666" cy="359830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Steps 6 and Step 7   - </a:t>
          </a:r>
          <a:r>
            <a:rPr lang="en-US" sz="1600" u="sng"/>
            <a:t>Subaward # 1</a:t>
          </a:r>
          <a:endParaRPr lang="en-US" sz="1600" u="sng" baseline="0"/>
        </a:p>
        <a:p>
          <a:endParaRPr lang="en-US" sz="1600" baseline="0"/>
        </a:p>
      </xdr:txBody>
    </xdr:sp>
    <xdr:clientData/>
  </xdr:twoCellAnchor>
  <xdr:twoCellAnchor>
    <xdr:from>
      <xdr:col>4</xdr:col>
      <xdr:colOff>258237</xdr:colOff>
      <xdr:row>50</xdr:row>
      <xdr:rowOff>35974</xdr:rowOff>
    </xdr:from>
    <xdr:to>
      <xdr:col>8</xdr:col>
      <xdr:colOff>215903</xdr:colOff>
      <xdr:row>51</xdr:row>
      <xdr:rowOff>173554</xdr:rowOff>
    </xdr:to>
    <xdr:sp macro="" textlink="">
      <xdr:nvSpPr>
        <xdr:cNvPr id="16" name="TextBox 15"/>
        <xdr:cNvSpPr txBox="1"/>
      </xdr:nvSpPr>
      <xdr:spPr>
        <a:xfrm>
          <a:off x="6682320" y="9550391"/>
          <a:ext cx="3259666" cy="328080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Steps 6 and Step 7   - </a:t>
          </a:r>
          <a:r>
            <a:rPr lang="en-US" sz="1600" u="sng"/>
            <a:t>Subaward # 2</a:t>
          </a:r>
          <a:endParaRPr lang="en-US" sz="1600" u="sng" baseline="0"/>
        </a:p>
        <a:p>
          <a:endParaRPr lang="en-US" sz="1600" baseline="0"/>
        </a:p>
      </xdr:txBody>
    </xdr:sp>
    <xdr:clientData/>
  </xdr:twoCellAnchor>
  <xdr:twoCellAnchor>
    <xdr:from>
      <xdr:col>2</xdr:col>
      <xdr:colOff>419099</xdr:colOff>
      <xdr:row>51</xdr:row>
      <xdr:rowOff>194733</xdr:rowOff>
    </xdr:from>
    <xdr:to>
      <xdr:col>4</xdr:col>
      <xdr:colOff>239182</xdr:colOff>
      <xdr:row>53</xdr:row>
      <xdr:rowOff>29630</xdr:rowOff>
    </xdr:to>
    <xdr:sp macro="" textlink="">
      <xdr:nvSpPr>
        <xdr:cNvPr id="19" name="TextBox 18"/>
        <xdr:cNvSpPr txBox="1"/>
      </xdr:nvSpPr>
      <xdr:spPr>
        <a:xfrm>
          <a:off x="5403849" y="9899650"/>
          <a:ext cx="1259416" cy="247647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433919</xdr:colOff>
      <xdr:row>56</xdr:row>
      <xdr:rowOff>156634</xdr:rowOff>
    </xdr:from>
    <xdr:to>
      <xdr:col>4</xdr:col>
      <xdr:colOff>254002</xdr:colOff>
      <xdr:row>58</xdr:row>
      <xdr:rowOff>23281</xdr:rowOff>
    </xdr:to>
    <xdr:sp macro="" textlink="">
      <xdr:nvSpPr>
        <xdr:cNvPr id="20" name="TextBox 19"/>
        <xdr:cNvSpPr txBox="1"/>
      </xdr:nvSpPr>
      <xdr:spPr>
        <a:xfrm>
          <a:off x="5418669" y="10898717"/>
          <a:ext cx="1259416" cy="247647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237071</xdr:colOff>
      <xdr:row>51</xdr:row>
      <xdr:rowOff>194722</xdr:rowOff>
    </xdr:from>
    <xdr:to>
      <xdr:col>11</xdr:col>
      <xdr:colOff>935570</xdr:colOff>
      <xdr:row>65</xdr:row>
      <xdr:rowOff>127000</xdr:rowOff>
    </xdr:to>
    <xdr:sp macro="" textlink="">
      <xdr:nvSpPr>
        <xdr:cNvPr id="21" name="TextBox 20"/>
        <xdr:cNvSpPr txBox="1"/>
      </xdr:nvSpPr>
      <xdr:spPr>
        <a:xfrm>
          <a:off x="6661154" y="10153639"/>
          <a:ext cx="6561666" cy="2779194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How many months does it take for</a:t>
          </a:r>
          <a:r>
            <a:rPr lang="en-US" sz="1400" baseline="0"/>
            <a:t> the Subaward # 2 to reach the 25,000 cap?</a:t>
          </a:r>
          <a:br>
            <a:rPr lang="en-US" sz="1400" baseline="0"/>
          </a:br>
          <a:endParaRPr lang="en-US" sz="1400" baseline="0"/>
        </a:p>
        <a:p>
          <a:r>
            <a:rPr lang="en-US" sz="1400" baseline="0"/>
            <a:t>In this example, it takes 5 months.   (60,000 / 12 months = 5,000 per month. 25,000 cap / 5,000  per month = 5 months)</a:t>
          </a:r>
        </a:p>
        <a:p>
          <a:endParaRPr lang="en-US" sz="1400" baseline="0"/>
        </a:p>
        <a:p>
          <a:r>
            <a:rPr lang="en-US" sz="1400" baseline="0"/>
            <a:t>The first prorated period is 1 month.</a:t>
          </a:r>
        </a:p>
        <a:p>
          <a:endParaRPr lang="en-US" sz="1400" baseline="0"/>
        </a:p>
        <a:p>
          <a:r>
            <a:rPr lang="en-US" sz="1400" baseline="0"/>
            <a:t>1 of the 5 months is 20%.  20% of the 25,000 will be charged in Period 1.  </a:t>
          </a:r>
        </a:p>
        <a:p>
          <a:endParaRPr lang="en-US" sz="1400" baseline="0"/>
        </a:p>
        <a:p>
          <a:r>
            <a:rPr lang="en-US" sz="1400" baseline="0"/>
            <a:t>20% x 25,000 = 5,000. </a:t>
          </a:r>
          <a:br>
            <a:rPr lang="en-US" sz="1400" baseline="0"/>
          </a:br>
          <a:r>
            <a:rPr lang="en-US" sz="1400" baseline="0"/>
            <a:t/>
          </a:r>
          <a:br>
            <a:rPr lang="en-US" sz="1400" baseline="0"/>
          </a:br>
          <a:r>
            <a:rPr lang="en-US" sz="1400" baseline="0"/>
            <a:t>5,000 is the Amount of Base for Sub # 2 in Period 1</a:t>
          </a:r>
          <a:endParaRPr lang="en-US" sz="1400"/>
        </a:p>
      </xdr:txBody>
    </xdr:sp>
    <xdr:clientData/>
  </xdr:twoCellAnchor>
  <xdr:twoCellAnchor>
    <xdr:from>
      <xdr:col>4</xdr:col>
      <xdr:colOff>226487</xdr:colOff>
      <xdr:row>66</xdr:row>
      <xdr:rowOff>21166</xdr:rowOff>
    </xdr:from>
    <xdr:to>
      <xdr:col>11</xdr:col>
      <xdr:colOff>920749</xdr:colOff>
      <xdr:row>74</xdr:row>
      <xdr:rowOff>1</xdr:rowOff>
    </xdr:to>
    <xdr:sp macro="" textlink="">
      <xdr:nvSpPr>
        <xdr:cNvPr id="22" name="TextBox 21"/>
        <xdr:cNvSpPr txBox="1"/>
      </xdr:nvSpPr>
      <xdr:spPr>
        <a:xfrm>
          <a:off x="6650570" y="13017499"/>
          <a:ext cx="6557429" cy="1566335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aseline="0"/>
            <a:t>The second prorated period is 1.5 months. (2.5 months  - 1 month)</a:t>
          </a:r>
        </a:p>
        <a:p>
          <a:endParaRPr lang="en-US" sz="1400" baseline="0"/>
        </a:p>
        <a:p>
          <a:r>
            <a:rPr lang="en-US" sz="1400" baseline="0"/>
            <a:t>4 of the 5 months is 80%.  80% of the 25,000 will be charged in Period 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80% x 25,000 = 20,000. 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20,000 is the Amount of Base for Sub # 2 in Period 2.</a:t>
          </a:r>
          <a:endParaRPr lang="en-US" sz="1400">
            <a:effectLst/>
          </a:endParaRPr>
        </a:p>
        <a:p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A7" sqref="A7"/>
    </sheetView>
  </sheetViews>
  <sheetFormatPr defaultRowHeight="15" x14ac:dyDescent="0.25"/>
  <sheetData>
    <row r="1" spans="1:14" x14ac:dyDescent="0.25">
      <c r="A1" s="27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28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A5" s="28" t="s">
        <v>94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25">
      <c r="A7" s="28" t="s">
        <v>96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25">
      <c r="A9" s="28" t="s">
        <v>44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5">
      <c r="A11" s="27" t="s">
        <v>50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x14ac:dyDescent="0.25">
      <c r="A15" s="28" t="s">
        <v>95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="90" zoomScaleNormal="90" workbookViewId="0">
      <selection activeCell="A6" sqref="A6"/>
    </sheetView>
  </sheetViews>
  <sheetFormatPr defaultRowHeight="15" x14ac:dyDescent="0.25"/>
  <cols>
    <col min="1" max="1" width="68.7109375" style="1" customWidth="1"/>
    <col min="2" max="2" width="10.28515625" style="1" customWidth="1"/>
    <col min="3" max="3" width="9.5703125" style="1" customWidth="1"/>
    <col min="4" max="4" width="12" style="1" bestFit="1" customWidth="1"/>
    <col min="5" max="6" width="10.5703125" style="1" bestFit="1" customWidth="1"/>
    <col min="7" max="7" width="15" style="1" customWidth="1"/>
    <col min="8" max="8" width="13.140625" style="1" bestFit="1" customWidth="1"/>
    <col min="9" max="9" width="12.5703125" style="1" customWidth="1"/>
    <col min="10" max="10" width="13.140625" style="1" bestFit="1" customWidth="1"/>
    <col min="11" max="11" width="12.7109375" style="1" customWidth="1"/>
    <col min="12" max="13" width="14.5703125" style="1" customWidth="1"/>
    <col min="14" max="14" width="11.85546875" style="1" bestFit="1" customWidth="1"/>
    <col min="15" max="16384" width="9.140625" style="1"/>
  </cols>
  <sheetData>
    <row r="1" spans="1:5" x14ac:dyDescent="0.25">
      <c r="A1" s="3" t="s">
        <v>34</v>
      </c>
    </row>
    <row r="2" spans="1:5" ht="17.25" x14ac:dyDescent="0.4">
      <c r="A2" s="32" t="s">
        <v>53</v>
      </c>
    </row>
    <row r="3" spans="1:5" x14ac:dyDescent="0.25">
      <c r="A3" s="3" t="s">
        <v>45</v>
      </c>
    </row>
    <row r="5" spans="1:5" x14ac:dyDescent="0.25">
      <c r="A5" s="1" t="s">
        <v>14</v>
      </c>
      <c r="D5" s="2"/>
      <c r="E5" s="31"/>
    </row>
    <row r="6" spans="1:5" x14ac:dyDescent="0.25">
      <c r="A6" s="1" t="s">
        <v>17</v>
      </c>
      <c r="D6" s="2"/>
      <c r="E6" s="31"/>
    </row>
    <row r="7" spans="1:5" x14ac:dyDescent="0.25">
      <c r="A7" s="1" t="s">
        <v>15</v>
      </c>
      <c r="D7" s="31"/>
      <c r="E7" s="31"/>
    </row>
    <row r="10" spans="1:5" x14ac:dyDescent="0.25">
      <c r="A10" s="3" t="s">
        <v>11</v>
      </c>
      <c r="D10" s="4">
        <v>0</v>
      </c>
    </row>
    <row r="12" spans="1:5" x14ac:dyDescent="0.25">
      <c r="A12" s="3" t="s">
        <v>51</v>
      </c>
    </row>
    <row r="13" spans="1:5" x14ac:dyDescent="0.25">
      <c r="A13" s="1" t="s">
        <v>62</v>
      </c>
      <c r="D13" s="4">
        <v>0</v>
      </c>
    </row>
    <row r="14" spans="1:5" x14ac:dyDescent="0.25">
      <c r="A14" s="1" t="s">
        <v>63</v>
      </c>
      <c r="D14" s="16">
        <f>D10*(D13/12)</f>
        <v>0</v>
      </c>
    </row>
    <row r="15" spans="1:5" x14ac:dyDescent="0.25">
      <c r="A15" s="1" t="s">
        <v>65</v>
      </c>
      <c r="D15" s="4">
        <v>0</v>
      </c>
    </row>
    <row r="16" spans="1:5" x14ac:dyDescent="0.25">
      <c r="A16" s="1" t="s">
        <v>64</v>
      </c>
      <c r="D16" s="16">
        <f>D10*(D15/12)</f>
        <v>0</v>
      </c>
    </row>
    <row r="17" spans="1:4" x14ac:dyDescent="0.25">
      <c r="D17" s="6"/>
    </row>
    <row r="18" spans="1:4" x14ac:dyDescent="0.25">
      <c r="A18" s="1" t="s">
        <v>7</v>
      </c>
      <c r="D18" s="16">
        <f>D13+D15</f>
        <v>0</v>
      </c>
    </row>
    <row r="19" spans="1:4" x14ac:dyDescent="0.25">
      <c r="A19" s="1" t="s">
        <v>70</v>
      </c>
      <c r="D19" s="16">
        <f>D14+D16</f>
        <v>0</v>
      </c>
    </row>
    <row r="21" spans="1:4" x14ac:dyDescent="0.25">
      <c r="A21" s="3" t="s">
        <v>68</v>
      </c>
      <c r="B21" s="1" t="s">
        <v>23</v>
      </c>
      <c r="C21" s="1" t="s">
        <v>13</v>
      </c>
      <c r="D21" s="13" t="s">
        <v>12</v>
      </c>
    </row>
    <row r="22" spans="1:4" x14ac:dyDescent="0.25">
      <c r="A22" s="1" t="s">
        <v>18</v>
      </c>
      <c r="B22" s="16">
        <f>D14</f>
        <v>0</v>
      </c>
      <c r="C22" s="16">
        <f>B22*0.695</f>
        <v>0</v>
      </c>
      <c r="D22" s="19" t="str">
        <f>IF(B22=0," ",C22/B22)</f>
        <v xml:space="preserve"> </v>
      </c>
    </row>
    <row r="23" spans="1:4" ht="17.25" x14ac:dyDescent="0.4">
      <c r="A23" s="1" t="s">
        <v>19</v>
      </c>
      <c r="B23" s="21">
        <f>D16</f>
        <v>0</v>
      </c>
      <c r="C23" s="21">
        <f>B23*0.69</f>
        <v>0</v>
      </c>
      <c r="D23" s="33" t="str">
        <f>IF(B23=0," ",C23/B23)</f>
        <v xml:space="preserve"> </v>
      </c>
    </row>
    <row r="24" spans="1:4" x14ac:dyDescent="0.25">
      <c r="A24" s="1" t="s">
        <v>20</v>
      </c>
      <c r="B24" s="16">
        <f>B22+B23</f>
        <v>0</v>
      </c>
      <c r="C24" s="16">
        <f>C22+C23</f>
        <v>0</v>
      </c>
      <c r="D24" s="19" t="str">
        <f>IF(B24=0," ",C24/B24)</f>
        <v xml:space="preserve"> </v>
      </c>
    </row>
    <row r="26" spans="1:4" x14ac:dyDescent="0.25">
      <c r="A26" s="14" t="s">
        <v>30</v>
      </c>
    </row>
    <row r="27" spans="1:4" x14ac:dyDescent="0.25">
      <c r="A27" s="14" t="s">
        <v>31</v>
      </c>
    </row>
    <row r="28" spans="1:4" x14ac:dyDescent="0.25">
      <c r="A28" s="14" t="s">
        <v>72</v>
      </c>
    </row>
    <row r="30" spans="1:4" x14ac:dyDescent="0.25">
      <c r="A30" s="3" t="s">
        <v>52</v>
      </c>
    </row>
    <row r="31" spans="1:4" x14ac:dyDescent="0.25">
      <c r="A31" s="1" t="s">
        <v>41</v>
      </c>
      <c r="D31" s="20">
        <f>D10</f>
        <v>0</v>
      </c>
    </row>
    <row r="32" spans="1:4" x14ac:dyDescent="0.25">
      <c r="A32" s="3" t="s">
        <v>43</v>
      </c>
      <c r="D32" s="30">
        <f>D19</f>
        <v>0</v>
      </c>
    </row>
    <row r="34" spans="1:4" x14ac:dyDescent="0.25">
      <c r="A34" s="1" t="s">
        <v>27</v>
      </c>
      <c r="D34" s="16">
        <f>C22</f>
        <v>0</v>
      </c>
    </row>
    <row r="35" spans="1:4" ht="17.25" x14ac:dyDescent="0.4">
      <c r="A35" s="1" t="s">
        <v>26</v>
      </c>
      <c r="D35" s="21">
        <f>C23</f>
        <v>0</v>
      </c>
    </row>
    <row r="36" spans="1:4" x14ac:dyDescent="0.25">
      <c r="A36" s="3" t="s">
        <v>28</v>
      </c>
      <c r="D36" s="22">
        <f>D34+D35</f>
        <v>0</v>
      </c>
    </row>
    <row r="38" spans="1:4" x14ac:dyDescent="0.25">
      <c r="A38" s="3" t="s">
        <v>24</v>
      </c>
      <c r="D38" s="22">
        <f>D32+D36</f>
        <v>0</v>
      </c>
    </row>
    <row r="39" spans="1:4" x14ac:dyDescent="0.25">
      <c r="A39" s="3"/>
      <c r="D39" s="22"/>
    </row>
    <row r="40" spans="1:4" x14ac:dyDescent="0.25">
      <c r="A40" s="3" t="s">
        <v>55</v>
      </c>
      <c r="D40" s="22"/>
    </row>
    <row r="41" spans="1:4" x14ac:dyDescent="0.25">
      <c r="A41" s="3" t="s">
        <v>73</v>
      </c>
    </row>
    <row r="42" spans="1:4" x14ac:dyDescent="0.25">
      <c r="A42" s="1" t="s">
        <v>54</v>
      </c>
      <c r="D42" s="34">
        <v>0</v>
      </c>
    </row>
    <row r="44" spans="1:4" x14ac:dyDescent="0.25">
      <c r="A44" s="1" t="s">
        <v>56</v>
      </c>
      <c r="D44" s="1">
        <f>D42-D38</f>
        <v>0</v>
      </c>
    </row>
    <row r="46" spans="1:4" x14ac:dyDescent="0.25">
      <c r="A46" s="3" t="s">
        <v>58</v>
      </c>
      <c r="D46" s="49" t="str">
        <f>IF(D42&lt;1," ",D44/(1+D24))</f>
        <v xml:space="preserve"> </v>
      </c>
    </row>
    <row r="47" spans="1:4" x14ac:dyDescent="0.25">
      <c r="D47" s="36" t="s">
        <v>60</v>
      </c>
    </row>
    <row r="48" spans="1:4" x14ac:dyDescent="0.25">
      <c r="A48" s="1" t="s">
        <v>61</v>
      </c>
      <c r="D48" s="37" t="str">
        <f>IF(D42&lt;1," ",(D46*D24))</f>
        <v xml:space="preserve"> </v>
      </c>
    </row>
    <row r="49" spans="1:4" x14ac:dyDescent="0.25">
      <c r="A49" s="1" t="s">
        <v>74</v>
      </c>
    </row>
    <row r="51" spans="1:4" x14ac:dyDescent="0.25">
      <c r="A51" s="1" t="s">
        <v>24</v>
      </c>
      <c r="D51" s="1" t="str">
        <f>IF(D42&lt;1," ",D46+D48)</f>
        <v xml:space="preserve"> </v>
      </c>
    </row>
  </sheetData>
  <sheetProtection algorithmName="SHA-512" hashValue="Ea6AfBiCo7mzvOXhL8bglVzWEKiovpjsqgWtH3Sa8oi6hifw1dcsYN3ZyWIbZHPVEUoCehh9k4+YgbZj32rxjw==" saltValue="RgsEwSa9vdAbfwQrGwfWnQ==" spinCount="100000" sheet="1" formatCells="0" formatColumns="0" formatRows="0" insertColumns="0" insertRows="0" insertHyperlinks="0" deleteColumns="0" deleteRows="0" sort="0" autoFilter="0" pivotTables="0"/>
  <pageMargins left="0.2" right="0.2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A8" zoomScale="85" zoomScaleNormal="85" zoomScaleSheetLayoutView="90" workbookViewId="0">
      <selection activeCell="A28" sqref="A28"/>
    </sheetView>
  </sheetViews>
  <sheetFormatPr defaultRowHeight="15" x14ac:dyDescent="0.25"/>
  <cols>
    <col min="1" max="1" width="64.42578125" style="1" customWidth="1"/>
    <col min="2" max="2" width="10.28515625" style="1" customWidth="1"/>
    <col min="3" max="3" width="9.5703125" style="1" customWidth="1"/>
    <col min="4" max="4" width="12" style="1" bestFit="1" customWidth="1"/>
    <col min="5" max="6" width="10.5703125" style="1" bestFit="1" customWidth="1"/>
    <col min="7" max="7" width="15" style="1" customWidth="1"/>
    <col min="8" max="8" width="13.140625" style="1" bestFit="1" customWidth="1"/>
    <col min="9" max="9" width="12.5703125" style="1" customWidth="1"/>
    <col min="10" max="10" width="13.140625" style="1" bestFit="1" customWidth="1"/>
    <col min="11" max="11" width="12.7109375" style="1" customWidth="1"/>
    <col min="12" max="13" width="14.5703125" style="1" customWidth="1"/>
    <col min="14" max="14" width="28.5703125" style="1" bestFit="1" customWidth="1"/>
    <col min="15" max="15" width="9.140625" style="1"/>
    <col min="16" max="16" width="11.85546875" style="1" bestFit="1" customWidth="1"/>
    <col min="17" max="16384" width="9.140625" style="1"/>
  </cols>
  <sheetData>
    <row r="1" spans="1:9" x14ac:dyDescent="0.25">
      <c r="A1" s="3" t="s">
        <v>34</v>
      </c>
    </row>
    <row r="2" spans="1:9" x14ac:dyDescent="0.25">
      <c r="A2" s="32" t="s">
        <v>67</v>
      </c>
    </row>
    <row r="3" spans="1:9" x14ac:dyDescent="0.25">
      <c r="A3" s="3" t="s">
        <v>45</v>
      </c>
    </row>
    <row r="5" spans="1:9" x14ac:dyDescent="0.25">
      <c r="A5" s="1" t="s">
        <v>14</v>
      </c>
      <c r="D5" s="2"/>
      <c r="E5" s="31"/>
    </row>
    <row r="6" spans="1:9" x14ac:dyDescent="0.25">
      <c r="A6" s="1" t="s">
        <v>17</v>
      </c>
      <c r="D6" s="2"/>
      <c r="E6" s="31"/>
      <c r="F6" s="53"/>
    </row>
    <row r="7" spans="1:9" x14ac:dyDescent="0.25">
      <c r="A7" s="1" t="s">
        <v>15</v>
      </c>
      <c r="D7" s="31"/>
      <c r="E7" s="31"/>
    </row>
    <row r="8" spans="1:9" x14ac:dyDescent="0.25">
      <c r="A8" s="1" t="s">
        <v>46</v>
      </c>
      <c r="D8" s="29"/>
      <c r="F8" s="1" t="s">
        <v>47</v>
      </c>
      <c r="I8" s="29"/>
    </row>
    <row r="9" spans="1:9" x14ac:dyDescent="0.25">
      <c r="A9" s="1" t="s">
        <v>4</v>
      </c>
      <c r="D9" s="31"/>
      <c r="F9" s="1" t="s">
        <v>4</v>
      </c>
      <c r="I9" s="31"/>
    </row>
    <row r="10" spans="1:9" x14ac:dyDescent="0.25">
      <c r="A10" s="1" t="s">
        <v>5</v>
      </c>
      <c r="D10" s="50"/>
      <c r="F10" s="1" t="s">
        <v>5</v>
      </c>
      <c r="I10" s="50"/>
    </row>
    <row r="11" spans="1:9" x14ac:dyDescent="0.25">
      <c r="A11" s="1" t="s">
        <v>6</v>
      </c>
      <c r="D11" s="15">
        <f>D9+D10</f>
        <v>0</v>
      </c>
      <c r="F11" s="1" t="s">
        <v>6</v>
      </c>
      <c r="I11" s="15">
        <f>I9+I10</f>
        <v>0</v>
      </c>
    </row>
    <row r="14" spans="1:9" x14ac:dyDescent="0.25">
      <c r="A14" s="3" t="s">
        <v>11</v>
      </c>
      <c r="D14" s="4"/>
    </row>
    <row r="15" spans="1:9" x14ac:dyDescent="0.25">
      <c r="A15" s="3" t="s">
        <v>66</v>
      </c>
      <c r="D15" s="4"/>
    </row>
    <row r="16" spans="1:9" x14ac:dyDescent="0.25">
      <c r="A16" s="3" t="s">
        <v>16</v>
      </c>
      <c r="D16" s="4"/>
    </row>
    <row r="18" spans="1:4" s="5" customFormat="1" ht="17.25" x14ac:dyDescent="0.4">
      <c r="A18" s="54" t="s">
        <v>75</v>
      </c>
    </row>
    <row r="19" spans="1:4" x14ac:dyDescent="0.25">
      <c r="A19" s="3" t="s">
        <v>87</v>
      </c>
      <c r="D19" s="16">
        <f>D14-D15-D16</f>
        <v>0</v>
      </c>
    </row>
    <row r="22" spans="1:4" ht="17.25" x14ac:dyDescent="0.4">
      <c r="A22" s="3" t="s">
        <v>88</v>
      </c>
    </row>
    <row r="23" spans="1:4" x14ac:dyDescent="0.25">
      <c r="A23" s="1" t="s">
        <v>62</v>
      </c>
      <c r="D23" s="4"/>
    </row>
    <row r="24" spans="1:4" s="40" customFormat="1" x14ac:dyDescent="0.25">
      <c r="A24" s="40" t="s">
        <v>63</v>
      </c>
      <c r="D24" s="41">
        <f>D19*(D23/12)</f>
        <v>0</v>
      </c>
    </row>
    <row r="25" spans="1:4" x14ac:dyDescent="0.25">
      <c r="A25" s="1" t="s">
        <v>65</v>
      </c>
      <c r="D25" s="4"/>
    </row>
    <row r="26" spans="1:4" s="40" customFormat="1" x14ac:dyDescent="0.25">
      <c r="A26" s="40" t="s">
        <v>64</v>
      </c>
      <c r="D26" s="41">
        <f>D19*(D25/12)</f>
        <v>0</v>
      </c>
    </row>
    <row r="27" spans="1:4" x14ac:dyDescent="0.25">
      <c r="D27" s="6"/>
    </row>
    <row r="28" spans="1:4" x14ac:dyDescent="0.25">
      <c r="A28" s="1" t="s">
        <v>7</v>
      </c>
      <c r="D28" s="16">
        <f>D23+D25</f>
        <v>0</v>
      </c>
    </row>
    <row r="29" spans="1:4" x14ac:dyDescent="0.25">
      <c r="A29" s="1" t="s">
        <v>8</v>
      </c>
      <c r="D29" s="51">
        <f>D24+D26</f>
        <v>0</v>
      </c>
    </row>
    <row r="31" spans="1:4" x14ac:dyDescent="0.25">
      <c r="A31" s="3" t="s">
        <v>33</v>
      </c>
    </row>
    <row r="32" spans="1:4" x14ac:dyDescent="0.25">
      <c r="A32" s="3" t="s">
        <v>37</v>
      </c>
    </row>
    <row r="33" spans="1:14" x14ac:dyDescent="0.25">
      <c r="A33" s="1" t="s">
        <v>9</v>
      </c>
      <c r="D33" s="4"/>
    </row>
    <row r="34" spans="1:14" x14ac:dyDescent="0.25">
      <c r="A34" s="1" t="s">
        <v>91</v>
      </c>
      <c r="D34" s="16">
        <f>D33/12</f>
        <v>0</v>
      </c>
    </row>
    <row r="36" spans="1:14" ht="18.75" x14ac:dyDescent="0.3">
      <c r="A36" s="1" t="s">
        <v>76</v>
      </c>
      <c r="D36" s="25">
        <f>IF(D33&lt;1, 0, (25000/D34))</f>
        <v>0</v>
      </c>
      <c r="E36" s="39" t="s">
        <v>40</v>
      </c>
    </row>
    <row r="37" spans="1:14" x14ac:dyDescent="0.25">
      <c r="E37" s="32" t="s">
        <v>49</v>
      </c>
    </row>
    <row r="38" spans="1:14" x14ac:dyDescent="0.25">
      <c r="A38" s="3" t="s">
        <v>10</v>
      </c>
      <c r="D38" s="8"/>
    </row>
    <row r="39" spans="1:14" x14ac:dyDescent="0.25">
      <c r="A39" s="1" t="s">
        <v>0</v>
      </c>
      <c r="D39" s="19">
        <f>IF(D33&lt;1,0,(D38/D36))</f>
        <v>0</v>
      </c>
    </row>
    <row r="40" spans="1:14" x14ac:dyDescent="0.25">
      <c r="D40" s="36" t="s">
        <v>82</v>
      </c>
    </row>
    <row r="41" spans="1:14" ht="17.25" x14ac:dyDescent="0.4">
      <c r="A41" s="1" t="s">
        <v>83</v>
      </c>
      <c r="D41" s="21">
        <v>25000</v>
      </c>
      <c r="E41" s="32" t="s">
        <v>48</v>
      </c>
      <c r="L41" s="1" t="s">
        <v>37</v>
      </c>
    </row>
    <row r="42" spans="1:14" s="40" customFormat="1" ht="17.25" x14ac:dyDescent="0.4">
      <c r="A42" s="59" t="s">
        <v>78</v>
      </c>
      <c r="B42" s="60"/>
      <c r="C42" s="60"/>
      <c r="D42" s="61">
        <f>IF(D33&lt;1, 0, (D39*D41))</f>
        <v>0</v>
      </c>
      <c r="L42" s="43" t="s">
        <v>25</v>
      </c>
      <c r="N42" s="44"/>
    </row>
    <row r="43" spans="1:14" x14ac:dyDescent="0.25">
      <c r="M43" s="1" t="s">
        <v>21</v>
      </c>
      <c r="N43" s="11" t="s">
        <v>22</v>
      </c>
    </row>
    <row r="44" spans="1:14" x14ac:dyDescent="0.25">
      <c r="A44" s="1" t="s">
        <v>35</v>
      </c>
      <c r="D44" s="18">
        <f>IF(D33&lt;1, 0, (D36-D38))</f>
        <v>0</v>
      </c>
      <c r="L44" s="1" t="s">
        <v>18</v>
      </c>
      <c r="M44" s="23">
        <f>D42</f>
        <v>0</v>
      </c>
      <c r="N44" s="24">
        <f>D39</f>
        <v>0</v>
      </c>
    </row>
    <row r="45" spans="1:14" x14ac:dyDescent="0.25">
      <c r="A45" s="1" t="s">
        <v>1</v>
      </c>
      <c r="D45" s="19" t="str">
        <f>IF(D33&lt;1,"  ",(D44/D36))</f>
        <v xml:space="preserve">  </v>
      </c>
      <c r="L45" s="1" t="s">
        <v>19</v>
      </c>
      <c r="M45" s="23">
        <f>D48</f>
        <v>0</v>
      </c>
      <c r="N45" s="24" t="str">
        <f>D45</f>
        <v xml:space="preserve">  </v>
      </c>
    </row>
    <row r="46" spans="1:14" x14ac:dyDescent="0.25">
      <c r="D46" s="55" t="s">
        <v>82</v>
      </c>
      <c r="L46" s="1" t="s">
        <v>20</v>
      </c>
      <c r="M46" s="23" t="str">
        <f>IF(D33&lt;1," ",D48+D42)</f>
        <v xml:space="preserve"> </v>
      </c>
      <c r="N46" s="24" t="str">
        <f>IF(D33&lt;1,"  ",D45+D39)</f>
        <v xml:space="preserve">  </v>
      </c>
    </row>
    <row r="47" spans="1:14" ht="17.25" x14ac:dyDescent="0.4">
      <c r="A47" s="1" t="s">
        <v>83</v>
      </c>
      <c r="D47" s="56">
        <v>25000</v>
      </c>
      <c r="E47" s="32" t="s">
        <v>48</v>
      </c>
      <c r="M47" s="23"/>
      <c r="N47" s="24"/>
    </row>
    <row r="48" spans="1:14" x14ac:dyDescent="0.25">
      <c r="A48" s="42" t="s">
        <v>79</v>
      </c>
      <c r="B48" s="40"/>
      <c r="C48" s="40"/>
      <c r="D48" s="30">
        <f>IF(D33&lt;1, 0, (D45*D47))</f>
        <v>0</v>
      </c>
      <c r="E48" s="32"/>
    </row>
    <row r="49" spans="1:14" ht="17.25" x14ac:dyDescent="0.4">
      <c r="D49" s="21"/>
      <c r="F49" s="11"/>
      <c r="G49" s="11"/>
      <c r="H49" s="11"/>
    </row>
    <row r="50" spans="1:14" s="40" customFormat="1" x14ac:dyDescent="0.25">
      <c r="A50" s="42"/>
      <c r="B50" s="42"/>
      <c r="C50" s="42"/>
      <c r="D50" s="30"/>
    </row>
    <row r="51" spans="1:14" x14ac:dyDescent="0.25">
      <c r="A51" s="3" t="s">
        <v>33</v>
      </c>
    </row>
    <row r="52" spans="1:14" ht="17.25" x14ac:dyDescent="0.4">
      <c r="A52" s="3" t="s">
        <v>39</v>
      </c>
    </row>
    <row r="53" spans="1:14" x14ac:dyDescent="0.25">
      <c r="A53" s="1" t="s">
        <v>9</v>
      </c>
      <c r="D53" s="4"/>
    </row>
    <row r="54" spans="1:14" x14ac:dyDescent="0.25">
      <c r="A54" s="1" t="s">
        <v>91</v>
      </c>
      <c r="D54" s="16">
        <f>D53/12</f>
        <v>0</v>
      </c>
    </row>
    <row r="56" spans="1:14" ht="18.75" x14ac:dyDescent="0.3">
      <c r="A56" s="1" t="s">
        <v>76</v>
      </c>
      <c r="D56" s="25">
        <f>IF(D53&lt;1, 0, (25000/D54))</f>
        <v>0</v>
      </c>
      <c r="E56" s="39" t="s">
        <v>40</v>
      </c>
    </row>
    <row r="57" spans="1:14" x14ac:dyDescent="0.25">
      <c r="E57" s="32" t="s">
        <v>49</v>
      </c>
    </row>
    <row r="58" spans="1:14" x14ac:dyDescent="0.25">
      <c r="A58" s="3" t="s">
        <v>10</v>
      </c>
      <c r="D58" s="8"/>
    </row>
    <row r="59" spans="1:14" x14ac:dyDescent="0.25">
      <c r="A59" s="1" t="s">
        <v>0</v>
      </c>
      <c r="D59" s="19">
        <f>IF(D53&lt;1, 0,(D58/D56))</f>
        <v>0</v>
      </c>
      <c r="L59" s="1" t="s">
        <v>38</v>
      </c>
    </row>
    <row r="60" spans="1:14" x14ac:dyDescent="0.25">
      <c r="D60" s="36" t="s">
        <v>82</v>
      </c>
    </row>
    <row r="61" spans="1:14" ht="17.25" x14ac:dyDescent="0.4">
      <c r="A61" s="1" t="s">
        <v>83</v>
      </c>
      <c r="D61" s="21">
        <v>25000</v>
      </c>
      <c r="E61" s="32" t="s">
        <v>48</v>
      </c>
    </row>
    <row r="62" spans="1:14" ht="17.25" x14ac:dyDescent="0.4">
      <c r="A62" s="42" t="s">
        <v>80</v>
      </c>
      <c r="B62" s="40"/>
      <c r="C62" s="40"/>
      <c r="D62" s="30">
        <f>IF(D53&lt;1, 0, (D59*D61))</f>
        <v>0</v>
      </c>
      <c r="E62" s="40"/>
      <c r="L62" s="10" t="s">
        <v>25</v>
      </c>
      <c r="N62" s="11"/>
    </row>
    <row r="63" spans="1:14" ht="17.25" x14ac:dyDescent="0.4">
      <c r="D63" s="21"/>
      <c r="M63" s="1" t="s">
        <v>21</v>
      </c>
      <c r="N63" s="11" t="s">
        <v>22</v>
      </c>
    </row>
    <row r="64" spans="1:14" s="40" customFormat="1" x14ac:dyDescent="0.25">
      <c r="A64" s="1" t="s">
        <v>35</v>
      </c>
      <c r="B64" s="1"/>
      <c r="C64" s="1"/>
      <c r="D64" s="18">
        <f>IF(D53&lt;1, 0, (D56-D58))</f>
        <v>0</v>
      </c>
      <c r="E64" s="1"/>
      <c r="L64" s="40" t="s">
        <v>18</v>
      </c>
      <c r="M64" s="45">
        <f>D62</f>
        <v>0</v>
      </c>
      <c r="N64" s="46">
        <f>D59</f>
        <v>0</v>
      </c>
    </row>
    <row r="65" spans="1:16" x14ac:dyDescent="0.25">
      <c r="A65" s="1" t="s">
        <v>1</v>
      </c>
      <c r="D65" s="19">
        <f>IF(D53&lt;1, 0,(D64/D56))</f>
        <v>0</v>
      </c>
      <c r="L65" s="1" t="s">
        <v>19</v>
      </c>
      <c r="M65" s="23">
        <f>D68</f>
        <v>0</v>
      </c>
      <c r="N65" s="24">
        <f>D65</f>
        <v>0</v>
      </c>
    </row>
    <row r="66" spans="1:16" x14ac:dyDescent="0.25">
      <c r="D66" s="55" t="s">
        <v>82</v>
      </c>
      <c r="L66" s="1" t="s">
        <v>20</v>
      </c>
      <c r="M66" s="23" t="str">
        <f>IF(D34&lt;1," ",D68+D62)</f>
        <v xml:space="preserve"> </v>
      </c>
      <c r="N66" s="24" t="str">
        <f>IF(D34&lt;1,"  ",D65+D59)</f>
        <v xml:space="preserve">  </v>
      </c>
    </row>
    <row r="67" spans="1:16" ht="17.25" x14ac:dyDescent="0.4">
      <c r="A67" s="1" t="s">
        <v>83</v>
      </c>
      <c r="D67" s="56">
        <v>25000</v>
      </c>
      <c r="E67" s="32" t="s">
        <v>48</v>
      </c>
      <c r="O67" s="23"/>
      <c r="P67" s="24"/>
    </row>
    <row r="68" spans="1:16" x14ac:dyDescent="0.25">
      <c r="A68" s="42" t="s">
        <v>81</v>
      </c>
      <c r="B68" s="40"/>
      <c r="C68" s="40"/>
      <c r="D68" s="30">
        <f>IF(D53&lt;1, 0, (D65*D67))</f>
        <v>0</v>
      </c>
    </row>
    <row r="69" spans="1:16" ht="17.25" x14ac:dyDescent="0.4">
      <c r="D69" s="21"/>
    </row>
    <row r="70" spans="1:16" x14ac:dyDescent="0.25">
      <c r="A70" s="3"/>
      <c r="B70" s="3"/>
      <c r="C70" s="3"/>
      <c r="D70" s="3"/>
    </row>
    <row r="71" spans="1:16" x14ac:dyDescent="0.25">
      <c r="A71" s="3" t="s">
        <v>29</v>
      </c>
    </row>
    <row r="72" spans="1:16" x14ac:dyDescent="0.25">
      <c r="A72" s="40" t="s">
        <v>2</v>
      </c>
    </row>
    <row r="73" spans="1:16" x14ac:dyDescent="0.25">
      <c r="A73" s="40" t="s">
        <v>84</v>
      </c>
      <c r="D73" s="1">
        <f>D24</f>
        <v>0</v>
      </c>
    </row>
    <row r="74" spans="1:16" x14ac:dyDescent="0.25">
      <c r="A74" s="57" t="s">
        <v>85</v>
      </c>
      <c r="D74" s="1">
        <f>D42</f>
        <v>0</v>
      </c>
    </row>
    <row r="75" spans="1:16" x14ac:dyDescent="0.25">
      <c r="A75" s="1" t="s">
        <v>86</v>
      </c>
      <c r="D75" s="6">
        <f>D62</f>
        <v>0</v>
      </c>
    </row>
    <row r="76" spans="1:16" s="40" customFormat="1" x14ac:dyDescent="0.25">
      <c r="A76" s="40" t="s">
        <v>89</v>
      </c>
      <c r="D76" s="47">
        <f>IF(D15&lt;1,D24,(D73+D74+D75))</f>
        <v>0</v>
      </c>
    </row>
    <row r="77" spans="1:16" x14ac:dyDescent="0.25">
      <c r="A77" s="1" t="s">
        <v>12</v>
      </c>
      <c r="D77" s="26">
        <v>0.69499999999999995</v>
      </c>
      <c r="J77" s="12"/>
    </row>
    <row r="78" spans="1:16" x14ac:dyDescent="0.25">
      <c r="A78" s="1" t="s">
        <v>13</v>
      </c>
      <c r="D78" s="22">
        <f>D76*D77</f>
        <v>0</v>
      </c>
      <c r="J78" s="12"/>
    </row>
    <row r="79" spans="1:16" x14ac:dyDescent="0.25">
      <c r="J79" s="9"/>
    </row>
    <row r="80" spans="1:16" s="40" customFormat="1" x14ac:dyDescent="0.25">
      <c r="A80" s="40" t="s">
        <v>3</v>
      </c>
    </row>
    <row r="81" spans="1:4" s="40" customFormat="1" x14ac:dyDescent="0.25">
      <c r="A81" s="40" t="s">
        <v>84</v>
      </c>
      <c r="D81" s="47">
        <f>D26</f>
        <v>0</v>
      </c>
    </row>
    <row r="82" spans="1:4" s="40" customFormat="1" x14ac:dyDescent="0.25">
      <c r="A82" s="57" t="s">
        <v>85</v>
      </c>
      <c r="D82" s="47">
        <f>D48</f>
        <v>0</v>
      </c>
    </row>
    <row r="83" spans="1:4" s="40" customFormat="1" ht="17.25" x14ac:dyDescent="0.4">
      <c r="A83" s="1" t="s">
        <v>86</v>
      </c>
      <c r="D83" s="58">
        <f>D68</f>
        <v>0</v>
      </c>
    </row>
    <row r="84" spans="1:4" x14ac:dyDescent="0.25">
      <c r="A84" s="40" t="s">
        <v>90</v>
      </c>
      <c r="D84" s="47">
        <f>IF(D15&lt;1,D26,D81+D82+D83)</f>
        <v>0</v>
      </c>
    </row>
    <row r="85" spans="1:4" x14ac:dyDescent="0.25">
      <c r="A85" s="1" t="s">
        <v>13</v>
      </c>
      <c r="D85" s="26">
        <v>0.69</v>
      </c>
    </row>
    <row r="86" spans="1:4" x14ac:dyDescent="0.25">
      <c r="D86" s="22">
        <f>D84*D85</f>
        <v>0</v>
      </c>
    </row>
    <row r="87" spans="1:4" x14ac:dyDescent="0.25">
      <c r="D87" s="3"/>
    </row>
    <row r="88" spans="1:4" x14ac:dyDescent="0.25">
      <c r="A88" s="3" t="s">
        <v>69</v>
      </c>
      <c r="B88" s="1" t="s">
        <v>23</v>
      </c>
      <c r="C88" s="1" t="s">
        <v>13</v>
      </c>
      <c r="D88" s="13" t="s">
        <v>12</v>
      </c>
    </row>
    <row r="89" spans="1:4" s="40" customFormat="1" x14ac:dyDescent="0.25">
      <c r="A89" s="40" t="s">
        <v>18</v>
      </c>
      <c r="B89" s="47">
        <f>D76</f>
        <v>0</v>
      </c>
      <c r="C89" s="47">
        <f>D78</f>
        <v>0</v>
      </c>
      <c r="D89" s="48">
        <f>IF(B89=0,0,C89/B89)</f>
        <v>0</v>
      </c>
    </row>
    <row r="90" spans="1:4" s="40" customFormat="1" x14ac:dyDescent="0.25">
      <c r="A90" s="40" t="s">
        <v>19</v>
      </c>
      <c r="B90" s="47">
        <f>D84</f>
        <v>0</v>
      </c>
      <c r="C90" s="47">
        <f>D86</f>
        <v>0</v>
      </c>
      <c r="D90" s="48">
        <f>IF(B90=0,0,C90/B90)</f>
        <v>0</v>
      </c>
    </row>
    <row r="91" spans="1:4" x14ac:dyDescent="0.25">
      <c r="A91" s="1" t="s">
        <v>20</v>
      </c>
      <c r="B91" s="16">
        <f>B89+B90</f>
        <v>0</v>
      </c>
      <c r="C91" s="16">
        <f>C89+C90</f>
        <v>0</v>
      </c>
      <c r="D91" s="19">
        <f>IF(B91=0,0,C91/B91)</f>
        <v>0</v>
      </c>
    </row>
    <row r="93" spans="1:4" x14ac:dyDescent="0.25">
      <c r="A93" s="14" t="s">
        <v>30</v>
      </c>
    </row>
    <row r="94" spans="1:4" x14ac:dyDescent="0.25">
      <c r="A94" s="14" t="s">
        <v>31</v>
      </c>
    </row>
    <row r="95" spans="1:4" x14ac:dyDescent="0.25">
      <c r="A95" s="14" t="s">
        <v>72</v>
      </c>
    </row>
    <row r="98" spans="1:5" x14ac:dyDescent="0.25">
      <c r="A98" s="3" t="s">
        <v>32</v>
      </c>
    </row>
    <row r="99" spans="1:5" x14ac:dyDescent="0.25">
      <c r="A99" s="1" t="s">
        <v>41</v>
      </c>
      <c r="D99" s="38">
        <f>D14</f>
        <v>0</v>
      </c>
    </row>
    <row r="100" spans="1:5" x14ac:dyDescent="0.25">
      <c r="A100" s="3" t="s">
        <v>42</v>
      </c>
      <c r="D100" s="17"/>
    </row>
    <row r="101" spans="1:5" x14ac:dyDescent="0.25">
      <c r="A101" s="3" t="s">
        <v>43</v>
      </c>
      <c r="D101" s="30">
        <f>D99+D100</f>
        <v>0</v>
      </c>
    </row>
    <row r="103" spans="1:5" x14ac:dyDescent="0.25">
      <c r="A103" s="1" t="s">
        <v>27</v>
      </c>
      <c r="D103" s="16">
        <f>D78</f>
        <v>0</v>
      </c>
    </row>
    <row r="104" spans="1:5" ht="17.25" x14ac:dyDescent="0.4">
      <c r="A104" s="1" t="s">
        <v>26</v>
      </c>
      <c r="D104" s="21">
        <f>D86</f>
        <v>0</v>
      </c>
    </row>
    <row r="105" spans="1:5" x14ac:dyDescent="0.25">
      <c r="A105" s="3" t="s">
        <v>28</v>
      </c>
      <c r="D105" s="22">
        <f>D78+D86</f>
        <v>0</v>
      </c>
    </row>
    <row r="107" spans="1:5" x14ac:dyDescent="0.25">
      <c r="A107" s="3" t="s">
        <v>24</v>
      </c>
      <c r="D107" s="22">
        <f>D101+D105</f>
        <v>0</v>
      </c>
    </row>
    <row r="109" spans="1:5" x14ac:dyDescent="0.25">
      <c r="A109" s="3" t="s">
        <v>59</v>
      </c>
      <c r="D109" s="3"/>
      <c r="E109" s="40"/>
    </row>
    <row r="110" spans="1:5" x14ac:dyDescent="0.25">
      <c r="A110" s="3" t="s">
        <v>73</v>
      </c>
      <c r="E110" s="40"/>
    </row>
    <row r="111" spans="1:5" x14ac:dyDescent="0.25">
      <c r="A111" s="1" t="s">
        <v>54</v>
      </c>
      <c r="D111" s="34"/>
      <c r="E111" s="40"/>
    </row>
    <row r="112" spans="1:5" x14ac:dyDescent="0.25">
      <c r="E112" s="40"/>
    </row>
    <row r="113" spans="1:5" x14ac:dyDescent="0.25">
      <c r="A113" s="1" t="s">
        <v>56</v>
      </c>
      <c r="D113" s="1">
        <f>IF(D111&lt;1,0,D111-D107)</f>
        <v>0</v>
      </c>
      <c r="E113" s="40"/>
    </row>
    <row r="114" spans="1:5" x14ac:dyDescent="0.25">
      <c r="E114" s="40"/>
    </row>
    <row r="115" spans="1:5" x14ac:dyDescent="0.25">
      <c r="A115" s="3" t="s">
        <v>58</v>
      </c>
      <c r="D115" s="52">
        <f>IF(D111&lt;1, 0,D113/(1+D91))</f>
        <v>0</v>
      </c>
      <c r="E115" s="40"/>
    </row>
    <row r="116" spans="1:5" x14ac:dyDescent="0.25">
      <c r="E116" s="40"/>
    </row>
    <row r="117" spans="1:5" x14ac:dyDescent="0.25">
      <c r="A117" s="1" t="s">
        <v>92</v>
      </c>
      <c r="D117" s="35" t="str">
        <f>IF(D111 &lt;1, " ", (D115*D91))</f>
        <v xml:space="preserve"> </v>
      </c>
      <c r="E117" s="40"/>
    </row>
    <row r="118" spans="1:5" x14ac:dyDescent="0.25">
      <c r="A118" s="1" t="s">
        <v>93</v>
      </c>
    </row>
  </sheetData>
  <sheetProtection algorithmName="SHA-512" hashValue="WMCtxVBjIkvZjKDzRHOlTSLz00yJ0dz7bPtBOikd4tXC8ryQbitvFuIzLvUXq1KeOrkbWKb4XTXl+WMG3uw7hw==" saltValue="h5dyo0vdjMs2ZGD7uFeJzA==" spinCount="100000" sheet="1" formatCells="0" formatColumns="0" formatRows="0" insertColumns="0" insertRows="0" insertHyperlinks="0" deleteColumns="0" deleteRows="0" sort="0" autoFilter="0" pivotTables="0"/>
  <pageMargins left="0.25" right="0.25" top="0.5" bottom="0.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topLeftCell="A75" zoomScale="90" zoomScaleNormal="90" zoomScaleSheetLayoutView="90" workbookViewId="0">
      <selection activeCell="A94" sqref="A94"/>
    </sheetView>
  </sheetViews>
  <sheetFormatPr defaultRowHeight="15" x14ac:dyDescent="0.25"/>
  <cols>
    <col min="1" max="1" width="64.42578125" style="1" customWidth="1"/>
    <col min="2" max="2" width="10.28515625" style="1" customWidth="1"/>
    <col min="3" max="3" width="9.5703125" style="1" customWidth="1"/>
    <col min="4" max="4" width="12" style="1" bestFit="1" customWidth="1"/>
    <col min="5" max="6" width="10.5703125" style="1" bestFit="1" customWidth="1"/>
    <col min="7" max="7" width="15" style="1" customWidth="1"/>
    <col min="8" max="8" width="13.140625" style="1" bestFit="1" customWidth="1"/>
    <col min="9" max="9" width="12.5703125" style="1" customWidth="1"/>
    <col min="10" max="10" width="13.140625" style="1" bestFit="1" customWidth="1"/>
    <col min="11" max="11" width="12.7109375" style="1" customWidth="1"/>
    <col min="12" max="13" width="14.5703125" style="1" customWidth="1"/>
    <col min="14" max="14" width="28.5703125" style="1" bestFit="1" customWidth="1"/>
    <col min="15" max="15" width="9.140625" style="1"/>
    <col min="16" max="16" width="11.85546875" style="1" bestFit="1" customWidth="1"/>
    <col min="17" max="16384" width="9.140625" style="1"/>
  </cols>
  <sheetData>
    <row r="1" spans="1:9" x14ac:dyDescent="0.25">
      <c r="A1" s="3" t="s">
        <v>34</v>
      </c>
    </row>
    <row r="2" spans="1:9" x14ac:dyDescent="0.25">
      <c r="A2" s="32" t="s">
        <v>67</v>
      </c>
    </row>
    <row r="3" spans="1:9" x14ac:dyDescent="0.25">
      <c r="A3" s="3" t="s">
        <v>45</v>
      </c>
    </row>
    <row r="5" spans="1:9" x14ac:dyDescent="0.25">
      <c r="A5" s="1" t="s">
        <v>14</v>
      </c>
      <c r="D5" s="2"/>
      <c r="E5" s="31"/>
    </row>
    <row r="6" spans="1:9" x14ac:dyDescent="0.25">
      <c r="A6" s="1" t="s">
        <v>17</v>
      </c>
      <c r="D6" s="2" t="s">
        <v>77</v>
      </c>
      <c r="E6" s="31"/>
      <c r="F6" s="53"/>
    </row>
    <row r="7" spans="1:9" x14ac:dyDescent="0.25">
      <c r="A7" s="1" t="s">
        <v>15</v>
      </c>
      <c r="D7" s="31">
        <v>420000</v>
      </c>
      <c r="E7" s="31"/>
    </row>
    <row r="8" spans="1:9" x14ac:dyDescent="0.25">
      <c r="A8" s="1" t="s">
        <v>46</v>
      </c>
      <c r="D8" s="29"/>
      <c r="F8" s="1" t="s">
        <v>47</v>
      </c>
      <c r="I8" s="29"/>
    </row>
    <row r="9" spans="1:9" x14ac:dyDescent="0.25">
      <c r="A9" s="1" t="s">
        <v>4</v>
      </c>
      <c r="D9" s="31">
        <v>80000</v>
      </c>
      <c r="F9" s="1" t="s">
        <v>4</v>
      </c>
      <c r="I9" s="31">
        <v>40000</v>
      </c>
    </row>
    <row r="10" spans="1:9" x14ac:dyDescent="0.25">
      <c r="A10" s="1" t="s">
        <v>5</v>
      </c>
      <c r="D10" s="50">
        <v>40000</v>
      </c>
      <c r="F10" s="1" t="s">
        <v>5</v>
      </c>
      <c r="I10" s="50">
        <v>20000</v>
      </c>
    </row>
    <row r="11" spans="1:9" x14ac:dyDescent="0.25">
      <c r="A11" s="1" t="s">
        <v>6</v>
      </c>
      <c r="D11" s="15">
        <f>D9+D10</f>
        <v>120000</v>
      </c>
      <c r="F11" s="1" t="s">
        <v>6</v>
      </c>
      <c r="I11" s="15">
        <f>I9+I10</f>
        <v>60000</v>
      </c>
    </row>
    <row r="14" spans="1:9" x14ac:dyDescent="0.25">
      <c r="A14" s="3" t="s">
        <v>11</v>
      </c>
      <c r="D14" s="4">
        <f>D7</f>
        <v>420000</v>
      </c>
    </row>
    <row r="15" spans="1:9" x14ac:dyDescent="0.25">
      <c r="A15" s="3" t="s">
        <v>66</v>
      </c>
      <c r="D15" s="4">
        <f>D11+I11</f>
        <v>180000</v>
      </c>
    </row>
    <row r="16" spans="1:9" x14ac:dyDescent="0.25">
      <c r="A16" s="3" t="s">
        <v>16</v>
      </c>
      <c r="D16" s="4">
        <v>0</v>
      </c>
    </row>
    <row r="18" spans="1:4" s="5" customFormat="1" ht="17.25" x14ac:dyDescent="0.4">
      <c r="A18" s="54" t="s">
        <v>75</v>
      </c>
    </row>
    <row r="19" spans="1:4" x14ac:dyDescent="0.25">
      <c r="A19" s="3" t="s">
        <v>87</v>
      </c>
      <c r="D19" s="16">
        <f>D14-D15-D16</f>
        <v>240000</v>
      </c>
    </row>
    <row r="22" spans="1:4" ht="17.25" x14ac:dyDescent="0.4">
      <c r="A22" s="3" t="s">
        <v>88</v>
      </c>
    </row>
    <row r="23" spans="1:4" x14ac:dyDescent="0.25">
      <c r="A23" s="1" t="s">
        <v>62</v>
      </c>
      <c r="D23" s="4">
        <v>1</v>
      </c>
    </row>
    <row r="24" spans="1:4" s="40" customFormat="1" x14ac:dyDescent="0.25">
      <c r="A24" s="40" t="s">
        <v>63</v>
      </c>
      <c r="D24" s="41">
        <f>D19*(D23/12)</f>
        <v>20000</v>
      </c>
    </row>
    <row r="25" spans="1:4" x14ac:dyDescent="0.25">
      <c r="A25" s="1" t="s">
        <v>65</v>
      </c>
      <c r="D25" s="4">
        <v>11</v>
      </c>
    </row>
    <row r="26" spans="1:4" s="40" customFormat="1" x14ac:dyDescent="0.25">
      <c r="A26" s="40" t="s">
        <v>64</v>
      </c>
      <c r="D26" s="41">
        <f>D19*(D25/12)</f>
        <v>220000</v>
      </c>
    </row>
    <row r="27" spans="1:4" x14ac:dyDescent="0.25">
      <c r="D27" s="6"/>
    </row>
    <row r="28" spans="1:4" x14ac:dyDescent="0.25">
      <c r="A28" s="1" t="s">
        <v>7</v>
      </c>
      <c r="D28" s="16">
        <f>D23+D25</f>
        <v>12</v>
      </c>
    </row>
    <row r="29" spans="1:4" x14ac:dyDescent="0.25">
      <c r="A29" s="1" t="s">
        <v>8</v>
      </c>
      <c r="D29" s="51">
        <f>D24+D26</f>
        <v>240000</v>
      </c>
    </row>
    <row r="31" spans="1:4" x14ac:dyDescent="0.25">
      <c r="A31" s="3" t="s">
        <v>33</v>
      </c>
    </row>
    <row r="32" spans="1:4" x14ac:dyDescent="0.25">
      <c r="A32" s="3" t="s">
        <v>37</v>
      </c>
    </row>
    <row r="33" spans="1:14" x14ac:dyDescent="0.25">
      <c r="A33" s="1" t="s">
        <v>9</v>
      </c>
      <c r="D33" s="4">
        <f>D11</f>
        <v>120000</v>
      </c>
    </row>
    <row r="34" spans="1:14" x14ac:dyDescent="0.25">
      <c r="A34" s="1" t="s">
        <v>91</v>
      </c>
      <c r="D34" s="16">
        <f>D33/12</f>
        <v>10000</v>
      </c>
    </row>
    <row r="36" spans="1:14" ht="18.75" x14ac:dyDescent="0.3">
      <c r="A36" s="1" t="s">
        <v>76</v>
      </c>
      <c r="D36" s="7">
        <f>IF(D33&lt;1, " ", (25000/D34))</f>
        <v>2.5</v>
      </c>
      <c r="E36" s="39"/>
    </row>
    <row r="37" spans="1:14" x14ac:dyDescent="0.25">
      <c r="E37" s="32"/>
    </row>
    <row r="38" spans="1:14" x14ac:dyDescent="0.25">
      <c r="A38" s="3" t="s">
        <v>10</v>
      </c>
      <c r="D38" s="8">
        <v>1</v>
      </c>
    </row>
    <row r="39" spans="1:14" x14ac:dyDescent="0.25">
      <c r="A39" s="1" t="s">
        <v>0</v>
      </c>
      <c r="D39" s="19">
        <f>IF(D33&lt;1," ",(D38/D36))</f>
        <v>0.4</v>
      </c>
    </row>
    <row r="40" spans="1:14" x14ac:dyDescent="0.25">
      <c r="D40" s="36" t="s">
        <v>82</v>
      </c>
      <c r="E40" s="32"/>
    </row>
    <row r="41" spans="1:14" ht="17.25" x14ac:dyDescent="0.4">
      <c r="A41" s="1" t="s">
        <v>83</v>
      </c>
      <c r="D41" s="21">
        <v>25000</v>
      </c>
      <c r="L41" s="1" t="s">
        <v>37</v>
      </c>
    </row>
    <row r="42" spans="1:14" s="40" customFormat="1" ht="17.25" x14ac:dyDescent="0.4">
      <c r="A42" s="42" t="s">
        <v>78</v>
      </c>
      <c r="D42" s="30">
        <f>IF(D33&lt;1, " ", (D39*D41))</f>
        <v>10000</v>
      </c>
      <c r="L42" s="43" t="s">
        <v>25</v>
      </c>
      <c r="N42" s="44"/>
    </row>
    <row r="43" spans="1:14" x14ac:dyDescent="0.25">
      <c r="M43" s="1" t="s">
        <v>21</v>
      </c>
      <c r="N43" s="11" t="s">
        <v>22</v>
      </c>
    </row>
    <row r="44" spans="1:14" x14ac:dyDescent="0.25">
      <c r="A44" s="1" t="s">
        <v>35</v>
      </c>
      <c r="D44" s="18">
        <f>IF(D33&lt;1, "  ", (D36-D38))</f>
        <v>1.5</v>
      </c>
      <c r="L44" s="1" t="s">
        <v>18</v>
      </c>
      <c r="M44" s="23">
        <f>D42</f>
        <v>10000</v>
      </c>
      <c r="N44" s="24">
        <f>D39</f>
        <v>0.4</v>
      </c>
    </row>
    <row r="45" spans="1:14" x14ac:dyDescent="0.25">
      <c r="A45" s="1" t="s">
        <v>1</v>
      </c>
      <c r="D45" s="19">
        <f>IF(D33&lt;1,"  ",(D44/D36))</f>
        <v>0.6</v>
      </c>
      <c r="L45" s="1" t="s">
        <v>19</v>
      </c>
      <c r="M45" s="23">
        <f>D48</f>
        <v>15000</v>
      </c>
      <c r="N45" s="24">
        <f>D45</f>
        <v>0.6</v>
      </c>
    </row>
    <row r="46" spans="1:14" x14ac:dyDescent="0.25">
      <c r="D46" s="55" t="s">
        <v>82</v>
      </c>
      <c r="L46" s="1" t="s">
        <v>20</v>
      </c>
      <c r="M46" s="23">
        <f>IF(D33&lt;1," ",D48+D42)</f>
        <v>25000</v>
      </c>
      <c r="N46" s="24">
        <f>IF(D33&lt;1,"  ",D45+D39)</f>
        <v>1</v>
      </c>
    </row>
    <row r="47" spans="1:14" ht="17.25" x14ac:dyDescent="0.4">
      <c r="A47" s="1" t="s">
        <v>83</v>
      </c>
      <c r="D47" s="56">
        <v>25000</v>
      </c>
      <c r="M47" s="23"/>
      <c r="N47" s="24"/>
    </row>
    <row r="48" spans="1:14" x14ac:dyDescent="0.25">
      <c r="A48" s="42" t="s">
        <v>79</v>
      </c>
      <c r="B48" s="40"/>
      <c r="C48" s="40"/>
      <c r="D48" s="30">
        <f>IF(D33&lt;1, "  ", (D45*25000))</f>
        <v>15000</v>
      </c>
      <c r="E48" s="32"/>
    </row>
    <row r="49" spans="1:16" ht="17.25" x14ac:dyDescent="0.4">
      <c r="D49" s="21"/>
      <c r="F49" s="11"/>
      <c r="G49" s="11"/>
      <c r="H49" s="11"/>
    </row>
    <row r="50" spans="1:16" s="40" customFormat="1" x14ac:dyDescent="0.25">
      <c r="A50" s="42"/>
      <c r="B50" s="42"/>
      <c r="C50" s="42"/>
      <c r="D50" s="30"/>
    </row>
    <row r="51" spans="1:16" x14ac:dyDescent="0.25">
      <c r="A51" s="3" t="s">
        <v>33</v>
      </c>
    </row>
    <row r="52" spans="1:16" ht="17.25" x14ac:dyDescent="0.4">
      <c r="A52" s="3" t="s">
        <v>39</v>
      </c>
    </row>
    <row r="53" spans="1:16" x14ac:dyDescent="0.25">
      <c r="A53" s="1" t="s">
        <v>9</v>
      </c>
      <c r="D53" s="4">
        <f>I11</f>
        <v>60000</v>
      </c>
    </row>
    <row r="54" spans="1:16" x14ac:dyDescent="0.25">
      <c r="A54" s="1" t="s">
        <v>91</v>
      </c>
      <c r="D54" s="16">
        <f>D53/12</f>
        <v>5000</v>
      </c>
    </row>
    <row r="56" spans="1:16" ht="18.75" x14ac:dyDescent="0.3">
      <c r="A56" s="1" t="s">
        <v>76</v>
      </c>
      <c r="D56" s="25">
        <f>IF(D53&lt;1, " ", (25000/D54))</f>
        <v>5</v>
      </c>
      <c r="E56" s="39"/>
    </row>
    <row r="57" spans="1:16" x14ac:dyDescent="0.25">
      <c r="E57" s="32"/>
    </row>
    <row r="58" spans="1:16" x14ac:dyDescent="0.25">
      <c r="A58" s="3" t="s">
        <v>10</v>
      </c>
      <c r="D58" s="8">
        <v>1</v>
      </c>
    </row>
    <row r="59" spans="1:16" x14ac:dyDescent="0.25">
      <c r="A59" s="1" t="s">
        <v>0</v>
      </c>
      <c r="D59" s="19">
        <f>IF(D53&lt;1," ",(D58/D56))</f>
        <v>0.2</v>
      </c>
      <c r="L59" s="1" t="s">
        <v>38</v>
      </c>
    </row>
    <row r="60" spans="1:16" x14ac:dyDescent="0.25">
      <c r="D60" s="36" t="s">
        <v>82</v>
      </c>
    </row>
    <row r="61" spans="1:16" ht="17.25" x14ac:dyDescent="0.4">
      <c r="A61" s="1" t="s">
        <v>83</v>
      </c>
      <c r="D61" s="21">
        <v>25000</v>
      </c>
    </row>
    <row r="62" spans="1:16" ht="17.25" x14ac:dyDescent="0.4">
      <c r="A62" s="42" t="s">
        <v>80</v>
      </c>
      <c r="B62" s="40"/>
      <c r="C62" s="40"/>
      <c r="D62" s="30">
        <f>IF(D53&lt;1, " ", (D59*D61))</f>
        <v>5000</v>
      </c>
      <c r="E62" s="32"/>
      <c r="N62" s="10" t="s">
        <v>25</v>
      </c>
      <c r="P62" s="11"/>
    </row>
    <row r="63" spans="1:16" ht="17.25" x14ac:dyDescent="0.4">
      <c r="D63" s="21"/>
      <c r="O63" s="1" t="s">
        <v>21</v>
      </c>
      <c r="P63" s="11" t="s">
        <v>22</v>
      </c>
    </row>
    <row r="64" spans="1:16" s="40" customFormat="1" x14ac:dyDescent="0.25">
      <c r="A64" s="1" t="s">
        <v>35</v>
      </c>
      <c r="B64" s="1"/>
      <c r="C64" s="1"/>
      <c r="D64" s="18">
        <f>IF(D53&lt;1, "  ", (D56-D58))</f>
        <v>4</v>
      </c>
      <c r="N64" s="40" t="s">
        <v>18</v>
      </c>
      <c r="O64" s="45">
        <f>D62</f>
        <v>5000</v>
      </c>
      <c r="P64" s="46">
        <f>D59</f>
        <v>0.2</v>
      </c>
    </row>
    <row r="65" spans="1:16" x14ac:dyDescent="0.25">
      <c r="A65" s="1" t="s">
        <v>1</v>
      </c>
      <c r="D65" s="19">
        <f>IF(D53&lt;1,"  ",(D64/D56))</f>
        <v>0.8</v>
      </c>
      <c r="N65" s="1" t="s">
        <v>19</v>
      </c>
      <c r="O65" s="23">
        <f>D68</f>
        <v>20000</v>
      </c>
      <c r="P65" s="24">
        <f>D65</f>
        <v>0.8</v>
      </c>
    </row>
    <row r="66" spans="1:16" x14ac:dyDescent="0.25">
      <c r="D66" s="55" t="s">
        <v>82</v>
      </c>
      <c r="N66" s="1" t="s">
        <v>20</v>
      </c>
      <c r="O66" s="23">
        <f>IF(D34&lt;1," ",D68+D62)</f>
        <v>25000</v>
      </c>
      <c r="P66" s="24">
        <f>IF(D34&lt;1,"  ",D65+D59)</f>
        <v>1</v>
      </c>
    </row>
    <row r="67" spans="1:16" ht="17.25" x14ac:dyDescent="0.4">
      <c r="A67" s="1" t="s">
        <v>83</v>
      </c>
      <c r="D67" s="56">
        <v>25000</v>
      </c>
      <c r="O67" s="23"/>
      <c r="P67" s="24"/>
    </row>
    <row r="68" spans="1:16" x14ac:dyDescent="0.25">
      <c r="A68" s="42" t="s">
        <v>81</v>
      </c>
      <c r="B68" s="40"/>
      <c r="C68" s="40"/>
      <c r="D68" s="30">
        <f>IF(D53&lt;1, "  ", (D65*D67))</f>
        <v>20000</v>
      </c>
    </row>
    <row r="69" spans="1:16" ht="17.25" x14ac:dyDescent="0.4">
      <c r="D69" s="21"/>
    </row>
    <row r="70" spans="1:16" x14ac:dyDescent="0.25">
      <c r="A70" s="3"/>
      <c r="B70" s="3"/>
      <c r="C70" s="3"/>
      <c r="D70" s="3"/>
    </row>
    <row r="71" spans="1:16" x14ac:dyDescent="0.25">
      <c r="A71" s="3" t="s">
        <v>29</v>
      </c>
    </row>
    <row r="72" spans="1:16" x14ac:dyDescent="0.25">
      <c r="A72" s="40" t="s">
        <v>2</v>
      </c>
    </row>
    <row r="73" spans="1:16" x14ac:dyDescent="0.25">
      <c r="A73" s="40" t="s">
        <v>84</v>
      </c>
      <c r="D73" s="1">
        <f>D24</f>
        <v>20000</v>
      </c>
    </row>
    <row r="74" spans="1:16" x14ac:dyDescent="0.25">
      <c r="A74" s="57" t="s">
        <v>85</v>
      </c>
      <c r="D74" s="1">
        <f>D42</f>
        <v>10000</v>
      </c>
    </row>
    <row r="75" spans="1:16" x14ac:dyDescent="0.25">
      <c r="A75" s="1" t="s">
        <v>86</v>
      </c>
      <c r="D75" s="6">
        <f>D62</f>
        <v>5000</v>
      </c>
    </row>
    <row r="76" spans="1:16" s="40" customFormat="1" x14ac:dyDescent="0.25">
      <c r="A76" s="40" t="s">
        <v>89</v>
      </c>
      <c r="D76" s="47">
        <f>IF(D15&lt;1,D24,(D73+D74+D75))</f>
        <v>35000</v>
      </c>
    </row>
    <row r="77" spans="1:16" x14ac:dyDescent="0.25">
      <c r="A77" s="1" t="s">
        <v>12</v>
      </c>
      <c r="D77" s="26">
        <v>0.69499999999999995</v>
      </c>
      <c r="J77" s="12"/>
    </row>
    <row r="78" spans="1:16" x14ac:dyDescent="0.25">
      <c r="A78" s="1" t="s">
        <v>13</v>
      </c>
      <c r="D78" s="22">
        <f>D76*D77</f>
        <v>24325</v>
      </c>
      <c r="J78" s="12"/>
    </row>
    <row r="79" spans="1:16" x14ac:dyDescent="0.25">
      <c r="J79" s="9"/>
    </row>
    <row r="80" spans="1:16" s="40" customFormat="1" x14ac:dyDescent="0.25">
      <c r="A80" s="40" t="s">
        <v>3</v>
      </c>
    </row>
    <row r="81" spans="1:4" s="40" customFormat="1" x14ac:dyDescent="0.25">
      <c r="A81" s="40" t="s">
        <v>84</v>
      </c>
      <c r="D81" s="47">
        <f>D26</f>
        <v>220000</v>
      </c>
    </row>
    <row r="82" spans="1:4" s="40" customFormat="1" x14ac:dyDescent="0.25">
      <c r="A82" s="57" t="s">
        <v>85</v>
      </c>
      <c r="D82" s="47">
        <f>D48</f>
        <v>15000</v>
      </c>
    </row>
    <row r="83" spans="1:4" s="40" customFormat="1" ht="17.25" x14ac:dyDescent="0.4">
      <c r="A83" s="1" t="s">
        <v>86</v>
      </c>
      <c r="D83" s="58">
        <f>D68</f>
        <v>20000</v>
      </c>
    </row>
    <row r="84" spans="1:4" x14ac:dyDescent="0.25">
      <c r="A84" s="40" t="s">
        <v>90</v>
      </c>
      <c r="D84" s="47">
        <f>IF(D15&lt;1,D26,D81+D82+D83)</f>
        <v>255000</v>
      </c>
    </row>
    <row r="85" spans="1:4" x14ac:dyDescent="0.25">
      <c r="A85" s="1" t="s">
        <v>13</v>
      </c>
      <c r="D85" s="26">
        <v>0.69</v>
      </c>
    </row>
    <row r="86" spans="1:4" x14ac:dyDescent="0.25">
      <c r="D86" s="22">
        <f>D84*D85</f>
        <v>175950</v>
      </c>
    </row>
    <row r="87" spans="1:4" x14ac:dyDescent="0.25">
      <c r="D87" s="3"/>
    </row>
    <row r="88" spans="1:4" x14ac:dyDescent="0.25">
      <c r="A88" s="3" t="s">
        <v>69</v>
      </c>
      <c r="B88" s="1" t="s">
        <v>23</v>
      </c>
      <c r="C88" s="1" t="s">
        <v>13</v>
      </c>
      <c r="D88" s="13" t="s">
        <v>12</v>
      </c>
    </row>
    <row r="89" spans="1:4" s="40" customFormat="1" x14ac:dyDescent="0.25">
      <c r="A89" s="40" t="s">
        <v>18</v>
      </c>
      <c r="B89" s="47">
        <f>D76</f>
        <v>35000</v>
      </c>
      <c r="C89" s="47">
        <f>D78</f>
        <v>24325</v>
      </c>
      <c r="D89" s="48">
        <f>IF(B89=0," ",C89/B89)</f>
        <v>0.69499999999999995</v>
      </c>
    </row>
    <row r="90" spans="1:4" s="40" customFormat="1" x14ac:dyDescent="0.25">
      <c r="A90" s="40" t="s">
        <v>19</v>
      </c>
      <c r="B90" s="47">
        <f>D84</f>
        <v>255000</v>
      </c>
      <c r="C90" s="47">
        <f>D86</f>
        <v>175950</v>
      </c>
      <c r="D90" s="48">
        <f>IF(B90=0," ",C90/B90)</f>
        <v>0.69</v>
      </c>
    </row>
    <row r="91" spans="1:4" x14ac:dyDescent="0.25">
      <c r="A91" s="1" t="s">
        <v>20</v>
      </c>
      <c r="B91" s="16">
        <f>B89+B90</f>
        <v>290000</v>
      </c>
      <c r="C91" s="16">
        <f>C89+C90</f>
        <v>200275</v>
      </c>
      <c r="D91" s="19">
        <f>IF(B91=0," ",C91/B91)</f>
        <v>0.69060344827586206</v>
      </c>
    </row>
    <row r="93" spans="1:4" x14ac:dyDescent="0.25">
      <c r="A93" s="14" t="s">
        <v>30</v>
      </c>
    </row>
    <row r="94" spans="1:4" x14ac:dyDescent="0.25">
      <c r="A94" s="14" t="s">
        <v>31</v>
      </c>
    </row>
    <row r="95" spans="1:4" x14ac:dyDescent="0.25">
      <c r="A95" s="14" t="s">
        <v>72</v>
      </c>
    </row>
    <row r="98" spans="1:5" x14ac:dyDescent="0.25">
      <c r="A98" s="3" t="s">
        <v>32</v>
      </c>
    </row>
    <row r="99" spans="1:5" x14ac:dyDescent="0.25">
      <c r="A99" s="1" t="s">
        <v>41</v>
      </c>
      <c r="D99" s="38">
        <f>D14</f>
        <v>420000</v>
      </c>
    </row>
    <row r="100" spans="1:5" x14ac:dyDescent="0.25">
      <c r="A100" s="3" t="s">
        <v>42</v>
      </c>
      <c r="D100" s="17"/>
    </row>
    <row r="101" spans="1:5" x14ac:dyDescent="0.25">
      <c r="A101" s="3" t="s">
        <v>43</v>
      </c>
      <c r="D101" s="30">
        <f>D99+D100</f>
        <v>420000</v>
      </c>
    </row>
    <row r="103" spans="1:5" x14ac:dyDescent="0.25">
      <c r="A103" s="1" t="s">
        <v>27</v>
      </c>
      <c r="D103" s="16">
        <f>D78</f>
        <v>24325</v>
      </c>
    </row>
    <row r="104" spans="1:5" ht="17.25" x14ac:dyDescent="0.4">
      <c r="A104" s="1" t="s">
        <v>26</v>
      </c>
      <c r="D104" s="21">
        <f>D86</f>
        <v>175950</v>
      </c>
    </row>
    <row r="105" spans="1:5" x14ac:dyDescent="0.25">
      <c r="A105" s="3" t="s">
        <v>28</v>
      </c>
      <c r="D105" s="22">
        <f>D78+D86</f>
        <v>200275</v>
      </c>
    </row>
    <row r="107" spans="1:5" x14ac:dyDescent="0.25">
      <c r="A107" s="3" t="s">
        <v>24</v>
      </c>
      <c r="D107" s="22">
        <f>D101+D105</f>
        <v>620275</v>
      </c>
    </row>
    <row r="109" spans="1:5" x14ac:dyDescent="0.25">
      <c r="A109" s="3" t="s">
        <v>59</v>
      </c>
      <c r="D109" s="3"/>
      <c r="E109" s="40"/>
    </row>
    <row r="110" spans="1:5" x14ac:dyDescent="0.25">
      <c r="A110" s="3" t="s">
        <v>73</v>
      </c>
      <c r="E110" s="40"/>
    </row>
    <row r="111" spans="1:5" x14ac:dyDescent="0.25">
      <c r="A111" s="1" t="s">
        <v>54</v>
      </c>
      <c r="D111" s="34"/>
      <c r="E111" s="40"/>
    </row>
    <row r="112" spans="1:5" x14ac:dyDescent="0.25">
      <c r="E112" s="40"/>
    </row>
    <row r="113" spans="1:5" x14ac:dyDescent="0.25">
      <c r="A113" s="1" t="s">
        <v>56</v>
      </c>
      <c r="D113" s="1" t="str">
        <f>IF(D111&lt;1," ",D111-D107)</f>
        <v xml:space="preserve"> </v>
      </c>
      <c r="E113" s="40"/>
    </row>
    <row r="114" spans="1:5" x14ac:dyDescent="0.25">
      <c r="E114" s="40"/>
    </row>
    <row r="115" spans="1:5" x14ac:dyDescent="0.25">
      <c r="A115" s="3" t="s">
        <v>58</v>
      </c>
      <c r="D115" s="52" t="str">
        <f>IF(D111&lt;1," ",D113/(1+D91))</f>
        <v xml:space="preserve"> </v>
      </c>
      <c r="E115" s="40"/>
    </row>
    <row r="116" spans="1:5" x14ac:dyDescent="0.25">
      <c r="E116" s="40"/>
    </row>
    <row r="117" spans="1:5" x14ac:dyDescent="0.25">
      <c r="A117" s="1" t="s">
        <v>57</v>
      </c>
      <c r="D117" s="35" t="str">
        <f>IF(D111 &lt;1, " ", (D115*D91))</f>
        <v xml:space="preserve"> </v>
      </c>
      <c r="E117" s="40"/>
    </row>
    <row r="118" spans="1:5" x14ac:dyDescent="0.25">
      <c r="A118" s="1" t="s">
        <v>74</v>
      </c>
    </row>
  </sheetData>
  <sheetProtection algorithmName="SHA-512" hashValue="fF5nIILWrBWVbcEWu6feN64w7NB3KhbG2XEzdsf3je2Di8eJYqYP2SE8ykvqrfOS2xZjoKmcYOE3ElSlQfk1Ng==" saltValue="yvpNH5EaGsiAeMBBPXZp0w==" spinCount="100000" sheet="1" formatCells="0" formatColumns="0" formatRows="0" insertColumns="0" insertRows="0" insertHyperlinks="0" deleteColumns="0" deleteRows="0" sort="0" autoFilter="0" pivotTables="0"/>
  <pageMargins left="0.25" right="0.25" top="0.5" bottom="0.5" header="0.3" footer="0.3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Read Me</vt:lpstr>
      <vt:lpstr>Calculator_No_Excludables</vt:lpstr>
      <vt:lpstr>Calculator_Excludables</vt:lpstr>
      <vt:lpstr>Subaward_EXAMPLE_Excludables</vt:lpstr>
      <vt:lpstr>Calculator_Excludables!Print_Area</vt:lpstr>
      <vt:lpstr>Calculator_No_Excludables!Print_Area</vt:lpstr>
      <vt:lpstr>Subaward_EXAMPLE_Excludables!Print_Area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Gottlieb, Allison</cp:lastModifiedBy>
  <cp:lastPrinted>2020-12-28T13:21:43Z</cp:lastPrinted>
  <dcterms:created xsi:type="dcterms:W3CDTF">2020-12-14T07:32:33Z</dcterms:created>
  <dcterms:modified xsi:type="dcterms:W3CDTF">2021-01-06T10:09:25Z</dcterms:modified>
</cp:coreProperties>
</file>